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pivotTables/pivotTable6.xml" ContentType="application/vnd.openxmlformats-officedocument.spreadsheetml.pivot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pivotTables/pivotTable4.xml" ContentType="application/vnd.openxmlformats-officedocument.spreadsheetml.pivot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Default Extension="png" ContentType="image/png"/>
  <Override PartName="/xl/pivotTables/pivotTable5.xml" ContentType="application/vnd.openxmlformats-officedocument.spreadsheetml.pivot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bhpc"/>
  <bookViews>
    <workbookView xWindow="-105" yWindow="-105" windowWidth="17520" windowHeight="13200" tabRatio="719" firstSheet="15" activeTab="16"/>
  </bookViews>
  <sheets>
    <sheet name="bhpc_data" sheetId="31" state="hidden" r:id="rId1"/>
    <sheet name="clientData" sheetId="30" state="hidden" r:id="rId2"/>
    <sheet name="dgn_calculation" sheetId="23" state="hidden" r:id="rId3"/>
    <sheet name="salesHistory" sheetId="33" state="hidden" r:id="rId4"/>
    <sheet name="orderHistory" sheetId="35" state="hidden" r:id="rId5"/>
    <sheet name="supplyHistory" sheetId="39" state="hidden" r:id="rId6"/>
    <sheet name="inventoryBHPC2023" sheetId="40" state="hidden" r:id="rId7"/>
    <sheet name="proformaModel1" sheetId="44" state="hidden" r:id="rId8"/>
    <sheet name="proformaModel12" sheetId="48" state="hidden" r:id="rId9"/>
    <sheet name="proformaModel2" sheetId="45" state="hidden" r:id="rId10"/>
    <sheet name="proformaModel22" sheetId="49" state="hidden" r:id="rId11"/>
    <sheet name="plModel1" sheetId="32" state="hidden" r:id="rId12"/>
    <sheet name="dgnModel" sheetId="28" state="hidden" r:id="rId13"/>
    <sheet name="plModel12" sheetId="51" state="hidden" r:id="rId14"/>
    <sheet name="dgnFinalModel" sheetId="52" state="hidden" r:id="rId15"/>
    <sheet name="carrier_data" sheetId="59" r:id="rId16"/>
    <sheet name="BHPC MANAGER" sheetId="37" r:id="rId17"/>
    <sheet name="COMMERCIAL" sheetId="34" state="hidden" r:id="rId18"/>
    <sheet name="WAREHOUSE" sheetId="38" state="hidden" r:id="rId19"/>
    <sheet name="COSTS ON BEHALF OF BHPC" sheetId="53" state="hidden" r:id="rId20"/>
    <sheet name="LABOR" sheetId="54" state="hidden" r:id="rId21"/>
    <sheet name="WAREHOUSING" sheetId="55" state="hidden" r:id="rId22"/>
    <sheet name="FINANCE" sheetId="56" state="hidden" r:id="rId23"/>
    <sheet name="ORDER ANALYTICS" sheetId="57" state="hidden" r:id="rId24"/>
    <sheet name="SALES ANALYTICS" sheetId="58" state="hidden" r:id="rId25"/>
  </sheets>
  <definedNames>
    <definedName name="_xlnm._FilterDatabase" localSheetId="16" hidden="1">'BHPC MANAGER'!$BZ$9:$CS$110</definedName>
    <definedName name="_xlnm._FilterDatabase" localSheetId="0" hidden="1">bhpc_data!$AV$1:$AV$81</definedName>
    <definedName name="_xlnm._FilterDatabase" localSheetId="1" hidden="1">clientData!$A$1:$S$52</definedName>
    <definedName name="_xlnm.Print_Area" localSheetId="14">dgnFinalModel!$A$1:$J$71</definedName>
    <definedName name="_xlnm.Print_Area" localSheetId="11">plModel1!$A$1:$K$64</definedName>
    <definedName name="_xlnm.Print_Area" localSheetId="13">plModel12!$A$1:$K$118</definedName>
    <definedName name="_xlnm.Print_Area" localSheetId="7">proformaModel1!$A$1:$K$65</definedName>
    <definedName name="_xlnm.Print_Area" localSheetId="8">proformaModel12!$A$1:$K$119</definedName>
    <definedName name="_xlnm.Print_Area" localSheetId="9">proformaModel2!$A$1:$K$74</definedName>
    <definedName name="_xlnm.Print_Area" localSheetId="10">proformaModel22!$A$1:$K$135</definedName>
    <definedName name="bhpcSKU" localSheetId="14">bhpc_data[sku]</definedName>
    <definedName name="bhpcSKU" localSheetId="13">bhpc_data[sku]</definedName>
    <definedName name="bhpcSKU" localSheetId="7">bhpc_data[sku]</definedName>
    <definedName name="bhpcSKU" localSheetId="8">bhpc_data[sku]</definedName>
    <definedName name="bhpcSKU" localSheetId="9">bhpc_data[sku]</definedName>
    <definedName name="bhpcSKU" localSheetId="10">bhpc_data[sku]</definedName>
    <definedName name="bhpcSKU">bhpc_data[sku]</definedName>
    <definedName name="carriers_name">carriers[CARRIER_CODE]</definedName>
    <definedName name="clientName">OFFSET(clientData!$A$2,0,0,COUNTA(clientData!$A$2:$A$52),1)</definedName>
    <definedName name="group1dgnvalues">dgnModel!$G$32:$I$33</definedName>
    <definedName name="group2dgnvalues">dgnModel!$G$38:$I$38</definedName>
    <definedName name="group3dgnvalues">dgnModel!$G$43:$I$46</definedName>
    <definedName name="productsCartons">'BHPC MANAGER'!$CG$10:$CG$109</definedName>
    <definedName name="productsCategory">'BHPC MANAGER'!$CM$10:$CM$110</definedName>
    <definedName name="productsCbm">'BHPC MANAGER'!$CL$10:$CL$110</definedName>
    <definedName name="productsCostPrice">'BHPC MANAGER'!$CQ$10:$CQ$110</definedName>
    <definedName name="productsCostTot">'BHPC MANAGER'!$CR$10:$CR$110</definedName>
    <definedName name="productsDescription">'BHPC MANAGER'!$CA$10:$CA$110</definedName>
    <definedName name="productsDiscCartons">'BHPC MANAGER'!$CH$10:$CH$109</definedName>
    <definedName name="productsDiscPrice">'BHPC MANAGER'!$CE$10:$CE$110</definedName>
    <definedName name="productsDiscQty">'BHPC MANAGER'!$CD$10:$CD$110</definedName>
    <definedName name="productsFocCartons">'BHPC MANAGER'!$CI$10:$CI$109</definedName>
    <definedName name="productsFocQty">'BHPC MANAGER'!$CF$10:$CF$110</definedName>
    <definedName name="productsGrossWeight">'BHPC MANAGER'!$CK$10:$CK$110</definedName>
    <definedName name="productsNetWeight">'BHPC MANAGER'!$CJ$10:$CJ$110</definedName>
    <definedName name="productsQty">'BHPC MANAGER'!$CB$10:$CB$110</definedName>
    <definedName name="productsSalePrice">'BHPC MANAGER'!$CC$10:$CC$110</definedName>
    <definedName name="productsSize">'BHPC MANAGER'!$CN$10:$CN$110</definedName>
    <definedName name="productsSku">'BHPC MANAGER'!$BZ$10:$BZ$110</definedName>
    <definedName name="productsSoldTot">'BHPC MANAGER'!$CS$10:$CS$110</definedName>
    <definedName name="proformaModel3" localSheetId="14">bhpc_data[sku]</definedName>
    <definedName name="proformaModel3" localSheetId="13">bhpc_data[sku]</definedName>
    <definedName name="proformaModel3" localSheetId="8">bhpc_data[sku]</definedName>
    <definedName name="proformaModel3" localSheetId="9">bhpc_data[sku]</definedName>
    <definedName name="proformaModel3" localSheetId="10">bhpc_data[sku]</definedName>
    <definedName name="proformaModel3">bhpc_data[sku]</definedName>
    <definedName name="ss" localSheetId="13">bhpc_data[sku]</definedName>
    <definedName name="ss" localSheetId="7">bhpc_data[sku]</definedName>
    <definedName name="ss" localSheetId="8">bhpc_data[sku]</definedName>
    <definedName name="ss" localSheetId="9">bhpc_data[sku]</definedName>
    <definedName name="ss" localSheetId="10">bhpc_data[sku]</definedName>
    <definedName name="_xlnm.Print_Titles" localSheetId="11">plModel1!$1:$10</definedName>
    <definedName name="_xlnm.Print_Titles" localSheetId="13">plModel12!$1:$10</definedName>
    <definedName name="_xlnm.Print_Titles" localSheetId="7">proformaModel1!$1:$12</definedName>
    <definedName name="_xlnm.Print_Titles" localSheetId="8">proformaModel12!$1:$12</definedName>
    <definedName name="_xlnm.Print_Titles" localSheetId="9">proformaModel2!$1:$12</definedName>
    <definedName name="_xlnm.Print_Titles" localSheetId="10">proformaModel22!$1:$12</definedName>
  </definedNames>
  <calcPr calcId="125725"/>
  <pivotCaches>
    <pivotCache cacheId="5" r:id="rId26"/>
    <pivotCache cacheId="6" r:id="rId27"/>
  </pivotCaches>
</workbook>
</file>

<file path=xl/calcChain.xml><?xml version="1.0" encoding="utf-8"?>
<calcChain xmlns="http://schemas.openxmlformats.org/spreadsheetml/2006/main">
  <c r="B6" i="37"/>
  <c r="B4"/>
  <c r="G12" i="32" l="1" a="1"/>
  <c r="G12" s="1"/>
  <c r="A12" a="1"/>
  <c r="A12" s="1"/>
  <c r="K12" s="1" a="1"/>
  <c r="K12" s="1"/>
  <c r="H14" i="44" a="1"/>
  <c r="H14" s="1"/>
  <c r="G14" a="1"/>
  <c r="G14" s="1"/>
  <c r="A14" a="1"/>
  <c r="A14" s="1"/>
  <c r="K14" s="1"/>
  <c r="Q16" i="37" a="1"/>
  <c r="Q16" s="1"/>
  <c r="U377" i="33"/>
  <c r="U378"/>
  <c r="U379"/>
  <c r="I104" i="48"/>
  <c r="I103"/>
  <c r="I102"/>
  <c r="I101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66"/>
  <c r="I57"/>
  <c r="I56"/>
  <c r="I55"/>
  <c r="I54"/>
  <c r="I53"/>
  <c r="I52"/>
  <c r="I51"/>
  <c r="I50"/>
  <c r="I49"/>
  <c r="I48"/>
  <c r="I47"/>
  <c r="I46"/>
  <c r="I45"/>
  <c r="I44"/>
  <c r="I43"/>
  <c r="I42"/>
  <c r="I41"/>
  <c r="I40"/>
  <c r="I39"/>
  <c r="I38"/>
  <c r="I13"/>
  <c r="I13" i="44"/>
  <c r="F14" l="1"/>
  <c r="J14"/>
  <c r="F12" i="32"/>
  <c r="H12"/>
  <c r="J12"/>
  <c r="I14" i="44"/>
  <c r="I12" i="32"/>
  <c r="L42" i="37" a="1"/>
  <c r="L42" s="1"/>
  <c r="M42" a="1"/>
  <c r="M42" s="1"/>
  <c r="N42" a="1"/>
  <c r="N42" s="1"/>
  <c r="O42" a="1"/>
  <c r="O42" s="1"/>
  <c r="P42" a="1"/>
  <c r="P42" s="1"/>
  <c r="Q42" a="1"/>
  <c r="Q42" s="1"/>
  <c r="R42" a="1"/>
  <c r="R42" s="1"/>
  <c r="S42" s="1"/>
  <c r="T42" a="1"/>
  <c r="T42" s="1"/>
  <c r="U42" a="1"/>
  <c r="U42" s="1"/>
  <c r="V42" a="1"/>
  <c r="V42" s="1"/>
  <c r="L43" a="1"/>
  <c r="L43" s="1"/>
  <c r="M43" a="1"/>
  <c r="M43" s="1"/>
  <c r="N43" a="1"/>
  <c r="N43" s="1"/>
  <c r="O43" a="1"/>
  <c r="O43" s="1"/>
  <c r="P43" a="1"/>
  <c r="P43" s="1"/>
  <c r="Q43" a="1"/>
  <c r="Q43" s="1"/>
  <c r="R43" a="1"/>
  <c r="R43" s="1"/>
  <c r="S43" s="1"/>
  <c r="T43" a="1"/>
  <c r="T43" s="1"/>
  <c r="U43" a="1"/>
  <c r="U43" s="1"/>
  <c r="V43" a="1"/>
  <c r="V43" s="1"/>
  <c r="L44" a="1"/>
  <c r="L44" s="1"/>
  <c r="M44" a="1"/>
  <c r="M44" s="1"/>
  <c r="N44" a="1"/>
  <c r="N44" s="1"/>
  <c r="O44" a="1"/>
  <c r="O44" s="1"/>
  <c r="P44" a="1"/>
  <c r="P44" s="1"/>
  <c r="Q44" a="1"/>
  <c r="Q44" s="1"/>
  <c r="R44" a="1"/>
  <c r="R44" s="1"/>
  <c r="S44" s="1"/>
  <c r="T44" a="1"/>
  <c r="T44" s="1"/>
  <c r="U44" a="1"/>
  <c r="U44" s="1"/>
  <c r="V44" a="1"/>
  <c r="V44" s="1"/>
  <c r="L45" a="1"/>
  <c r="L45" s="1"/>
  <c r="M45" a="1"/>
  <c r="M45" s="1"/>
  <c r="N45" a="1"/>
  <c r="N45" s="1"/>
  <c r="O45" a="1"/>
  <c r="O45" s="1"/>
  <c r="P45" a="1"/>
  <c r="P45" s="1"/>
  <c r="Q45" a="1"/>
  <c r="Q45" s="1"/>
  <c r="R45" a="1"/>
  <c r="R45" s="1"/>
  <c r="S45" s="1"/>
  <c r="T45" a="1"/>
  <c r="T45" s="1"/>
  <c r="U45" a="1"/>
  <c r="U45" s="1"/>
  <c r="V45" a="1"/>
  <c r="V45" s="1"/>
  <c r="L46" a="1"/>
  <c r="L46" s="1"/>
  <c r="M46" a="1"/>
  <c r="M46" s="1"/>
  <c r="N46" a="1"/>
  <c r="N46" s="1"/>
  <c r="O46" a="1"/>
  <c r="O46" s="1"/>
  <c r="P46" a="1"/>
  <c r="P46" s="1"/>
  <c r="Q46" a="1"/>
  <c r="Q46" s="1"/>
  <c r="R46" a="1"/>
  <c r="R46" s="1"/>
  <c r="S46" s="1"/>
  <c r="T46" a="1"/>
  <c r="T46" s="1"/>
  <c r="U46" a="1"/>
  <c r="U46" s="1"/>
  <c r="V46" a="1"/>
  <c r="V46" s="1"/>
  <c r="L47" a="1"/>
  <c r="L47" s="1"/>
  <c r="M47" a="1"/>
  <c r="M47" s="1"/>
  <c r="N47" a="1"/>
  <c r="N47" s="1"/>
  <c r="O47" a="1"/>
  <c r="O47" s="1"/>
  <c r="P47" a="1"/>
  <c r="P47" s="1"/>
  <c r="Q47" a="1"/>
  <c r="Q47" s="1"/>
  <c r="R47" a="1"/>
  <c r="R47" s="1"/>
  <c r="S47" s="1"/>
  <c r="T47" a="1"/>
  <c r="T47" s="1"/>
  <c r="U47" a="1"/>
  <c r="U47" s="1"/>
  <c r="V47" a="1"/>
  <c r="V47" s="1"/>
  <c r="L48" a="1"/>
  <c r="L48" s="1"/>
  <c r="M48" a="1"/>
  <c r="M48" s="1"/>
  <c r="N48" a="1"/>
  <c r="N48" s="1"/>
  <c r="O48" a="1"/>
  <c r="O48" s="1"/>
  <c r="P48" a="1"/>
  <c r="P48" s="1"/>
  <c r="Q48" a="1"/>
  <c r="Q48" s="1"/>
  <c r="R48" a="1"/>
  <c r="R48" s="1"/>
  <c r="S48" s="1"/>
  <c r="T48" a="1"/>
  <c r="T48" s="1"/>
  <c r="U48" a="1"/>
  <c r="U48" s="1"/>
  <c r="V48" a="1"/>
  <c r="V48" s="1"/>
  <c r="L49" a="1"/>
  <c r="L49" s="1"/>
  <c r="M49" a="1"/>
  <c r="M49" s="1"/>
  <c r="N49" a="1"/>
  <c r="N49" s="1"/>
  <c r="O49" a="1"/>
  <c r="O49" s="1"/>
  <c r="P49" a="1"/>
  <c r="P49" s="1"/>
  <c r="Q49" a="1"/>
  <c r="Q49" s="1"/>
  <c r="R49" a="1"/>
  <c r="R49" s="1"/>
  <c r="S49" s="1"/>
  <c r="T49" a="1"/>
  <c r="T49" s="1"/>
  <c r="U49" a="1"/>
  <c r="U49" s="1"/>
  <c r="V49" a="1"/>
  <c r="V49" s="1"/>
  <c r="L50" a="1"/>
  <c r="L50" s="1"/>
  <c r="M50" a="1"/>
  <c r="M50" s="1"/>
  <c r="N50" a="1"/>
  <c r="N50" s="1"/>
  <c r="O50" a="1"/>
  <c r="O50" s="1"/>
  <c r="P50" a="1"/>
  <c r="P50" s="1"/>
  <c r="Q50" a="1"/>
  <c r="Q50" s="1"/>
  <c r="R50" a="1"/>
  <c r="R50" s="1"/>
  <c r="S50" s="1"/>
  <c r="T50" a="1"/>
  <c r="T50" s="1"/>
  <c r="U50" a="1"/>
  <c r="U50" s="1"/>
  <c r="V50" a="1"/>
  <c r="V50" s="1"/>
  <c r="L51" a="1"/>
  <c r="L51" s="1"/>
  <c r="M51" a="1"/>
  <c r="M51" s="1"/>
  <c r="N51" a="1"/>
  <c r="N51" s="1"/>
  <c r="O51" a="1"/>
  <c r="O51" s="1"/>
  <c r="P51" a="1"/>
  <c r="P51" s="1"/>
  <c r="Q51" a="1"/>
  <c r="Q51" s="1"/>
  <c r="R51" a="1"/>
  <c r="R51" s="1"/>
  <c r="S51" s="1"/>
  <c r="T51" a="1"/>
  <c r="T51" s="1"/>
  <c r="U51" a="1"/>
  <c r="U51" s="1"/>
  <c r="V51" a="1"/>
  <c r="V51" s="1"/>
  <c r="L52" a="1"/>
  <c r="L52" s="1"/>
  <c r="M52" a="1"/>
  <c r="M52" s="1"/>
  <c r="N52" a="1"/>
  <c r="N52" s="1"/>
  <c r="O52" a="1"/>
  <c r="O52" s="1"/>
  <c r="P52" a="1"/>
  <c r="P52" s="1"/>
  <c r="Q52" a="1"/>
  <c r="Q52" s="1"/>
  <c r="R52" a="1"/>
  <c r="R52" s="1"/>
  <c r="S52" s="1"/>
  <c r="T52" a="1"/>
  <c r="T52" s="1"/>
  <c r="U52" a="1"/>
  <c r="U52" s="1"/>
  <c r="V52" a="1"/>
  <c r="V52" s="1"/>
  <c r="L53" a="1"/>
  <c r="L53" s="1"/>
  <c r="M53" a="1"/>
  <c r="M53" s="1"/>
  <c r="N53" a="1"/>
  <c r="N53" s="1"/>
  <c r="O53" a="1"/>
  <c r="O53" s="1"/>
  <c r="P53" a="1"/>
  <c r="P53" s="1"/>
  <c r="Q53" a="1"/>
  <c r="Q53" s="1"/>
  <c r="R53" a="1"/>
  <c r="R53" s="1"/>
  <c r="S53" s="1"/>
  <c r="T53" a="1"/>
  <c r="T53" s="1"/>
  <c r="U53" a="1"/>
  <c r="U53" s="1"/>
  <c r="V53" a="1"/>
  <c r="V53" s="1"/>
  <c r="L54" a="1"/>
  <c r="L54" s="1"/>
  <c r="M54" a="1"/>
  <c r="M54" s="1"/>
  <c r="N54" a="1"/>
  <c r="N54" s="1"/>
  <c r="O54" a="1"/>
  <c r="O54" s="1"/>
  <c r="P54" a="1"/>
  <c r="P54" s="1"/>
  <c r="Q54" a="1"/>
  <c r="Q54" s="1"/>
  <c r="R54" a="1"/>
  <c r="R54" s="1"/>
  <c r="S54" s="1"/>
  <c r="T54" a="1"/>
  <c r="T54" s="1"/>
  <c r="U54" a="1"/>
  <c r="U54" s="1"/>
  <c r="V54" a="1"/>
  <c r="V54" s="1"/>
  <c r="L55" a="1"/>
  <c r="L55" s="1"/>
  <c r="M55" a="1"/>
  <c r="M55" s="1"/>
  <c r="N55" a="1"/>
  <c r="N55" s="1"/>
  <c r="O55" a="1"/>
  <c r="O55" s="1"/>
  <c r="P55" a="1"/>
  <c r="P55" s="1"/>
  <c r="Q55" a="1"/>
  <c r="Q55" s="1"/>
  <c r="R55" a="1"/>
  <c r="R55" s="1"/>
  <c r="S55" s="1"/>
  <c r="T55" a="1"/>
  <c r="T55" s="1"/>
  <c r="U55" a="1"/>
  <c r="U55" s="1"/>
  <c r="V55" a="1"/>
  <c r="V55" s="1"/>
  <c r="L56" a="1"/>
  <c r="L56" s="1"/>
  <c r="M56" a="1"/>
  <c r="M56" s="1"/>
  <c r="N56" a="1"/>
  <c r="N56" s="1"/>
  <c r="O56" a="1"/>
  <c r="O56" s="1"/>
  <c r="P56" a="1"/>
  <c r="P56" s="1"/>
  <c r="Q56" a="1"/>
  <c r="Q56" s="1"/>
  <c r="R56" a="1"/>
  <c r="R56" s="1"/>
  <c r="S56" s="1"/>
  <c r="T56" a="1"/>
  <c r="T56" s="1"/>
  <c r="U56" a="1"/>
  <c r="U56" s="1"/>
  <c r="V56" a="1"/>
  <c r="V56" s="1"/>
  <c r="L57" a="1"/>
  <c r="L57" s="1"/>
  <c r="M57" a="1"/>
  <c r="M57" s="1"/>
  <c r="N57" a="1"/>
  <c r="N57" s="1"/>
  <c r="O57" a="1"/>
  <c r="O57" s="1"/>
  <c r="P57" a="1"/>
  <c r="P57" s="1"/>
  <c r="Q57" a="1"/>
  <c r="Q57" s="1"/>
  <c r="R57" a="1"/>
  <c r="R57" s="1"/>
  <c r="S57" s="1"/>
  <c r="T57" a="1"/>
  <c r="T57" s="1"/>
  <c r="U57" a="1"/>
  <c r="U57" s="1"/>
  <c r="V57" a="1"/>
  <c r="V57" s="1"/>
  <c r="L58" a="1"/>
  <c r="L58" s="1"/>
  <c r="M58" a="1"/>
  <c r="M58" s="1"/>
  <c r="N58" a="1"/>
  <c r="N58" s="1"/>
  <c r="O58" a="1"/>
  <c r="O58" s="1"/>
  <c r="P58" a="1"/>
  <c r="P58" s="1"/>
  <c r="Q58" a="1"/>
  <c r="Q58" s="1"/>
  <c r="R58" a="1"/>
  <c r="R58" s="1"/>
  <c r="S58" s="1"/>
  <c r="T58" a="1"/>
  <c r="T58" s="1"/>
  <c r="U58" a="1"/>
  <c r="U58" s="1"/>
  <c r="V58" a="1"/>
  <c r="V58" s="1"/>
  <c r="L59" a="1"/>
  <c r="L59" s="1"/>
  <c r="M59" a="1"/>
  <c r="M59" s="1"/>
  <c r="N59" a="1"/>
  <c r="N59" s="1"/>
  <c r="O59" a="1"/>
  <c r="O59" s="1"/>
  <c r="P59" a="1"/>
  <c r="P59" s="1"/>
  <c r="Q59" a="1"/>
  <c r="Q59" s="1"/>
  <c r="R59" a="1"/>
  <c r="R59" s="1"/>
  <c r="S59" s="1"/>
  <c r="T59" a="1"/>
  <c r="T59" s="1"/>
  <c r="U59" a="1"/>
  <c r="U59" s="1"/>
  <c r="V59" a="1"/>
  <c r="V59" s="1"/>
  <c r="L60" a="1"/>
  <c r="L60" s="1"/>
  <c r="M60" a="1"/>
  <c r="M60" s="1"/>
  <c r="N60" a="1"/>
  <c r="N60" s="1"/>
  <c r="O60" a="1"/>
  <c r="O60" s="1"/>
  <c r="P60" a="1"/>
  <c r="P60" s="1"/>
  <c r="Q60" a="1"/>
  <c r="Q60" s="1"/>
  <c r="R60" a="1"/>
  <c r="R60" s="1"/>
  <c r="S60" s="1"/>
  <c r="T60" a="1"/>
  <c r="T60" s="1"/>
  <c r="U60" a="1"/>
  <c r="U60" s="1"/>
  <c r="V60" a="1"/>
  <c r="V60" s="1"/>
  <c r="U367" i="33"/>
  <c r="U368"/>
  <c r="U369"/>
  <c r="U370"/>
  <c r="U371"/>
  <c r="U372"/>
  <c r="U373"/>
  <c r="U374"/>
  <c r="U375"/>
  <c r="G81" i="51" a="1"/>
  <c r="G81" s="1"/>
  <c r="A81" a="1"/>
  <c r="A81" s="1"/>
  <c r="K81" s="1" a="1"/>
  <c r="K81" s="1"/>
  <c r="G80" a="1"/>
  <c r="G80" s="1"/>
  <c r="A80" a="1"/>
  <c r="A80" s="1"/>
  <c r="K80" s="1" a="1"/>
  <c r="K80" s="1"/>
  <c r="G79" a="1"/>
  <c r="G79" s="1"/>
  <c r="A79" a="1"/>
  <c r="A79" s="1"/>
  <c r="K79" s="1" a="1"/>
  <c r="K79" s="1"/>
  <c r="G78" a="1"/>
  <c r="G78" s="1"/>
  <c r="A78" a="1"/>
  <c r="A78" s="1"/>
  <c r="K78" s="1" a="1"/>
  <c r="K78" s="1"/>
  <c r="G77" a="1"/>
  <c r="G77" s="1"/>
  <c r="A77" a="1"/>
  <c r="A77" s="1"/>
  <c r="K77" s="1" a="1"/>
  <c r="K77" s="1"/>
  <c r="G76" a="1"/>
  <c r="G76" s="1"/>
  <c r="A76" a="1"/>
  <c r="A76" s="1"/>
  <c r="K76" s="1" a="1"/>
  <c r="K76" s="1"/>
  <c r="G75" a="1"/>
  <c r="G75" s="1"/>
  <c r="A75" a="1"/>
  <c r="A75" s="1"/>
  <c r="K75" s="1" a="1"/>
  <c r="K75" s="1"/>
  <c r="G74" a="1"/>
  <c r="G74" s="1"/>
  <c r="A74" a="1"/>
  <c r="A74" s="1"/>
  <c r="K74" s="1" a="1"/>
  <c r="K74" s="1"/>
  <c r="G73" a="1"/>
  <c r="G73" s="1"/>
  <c r="A73" a="1"/>
  <c r="A73" s="1"/>
  <c r="K73" s="1" a="1"/>
  <c r="K73" s="1"/>
  <c r="G72" a="1"/>
  <c r="G72" s="1"/>
  <c r="A72" a="1"/>
  <c r="A72" s="1"/>
  <c r="K72" s="1" a="1"/>
  <c r="K72" s="1"/>
  <c r="G71" a="1"/>
  <c r="G71" s="1"/>
  <c r="A71" a="1"/>
  <c r="A71" s="1"/>
  <c r="K71" s="1" a="1"/>
  <c r="K71" s="1"/>
  <c r="G70" a="1"/>
  <c r="G70" s="1"/>
  <c r="A70" a="1"/>
  <c r="A70" s="1"/>
  <c r="K70" s="1" a="1"/>
  <c r="K70" s="1"/>
  <c r="G69" a="1"/>
  <c r="G69" s="1"/>
  <c r="A69" a="1"/>
  <c r="A69" s="1"/>
  <c r="K69" s="1" a="1"/>
  <c r="K69" s="1"/>
  <c r="G68" a="1"/>
  <c r="G68" s="1"/>
  <c r="A68" a="1"/>
  <c r="A68" s="1"/>
  <c r="K68" s="1" a="1"/>
  <c r="K68" s="1"/>
  <c r="G67" a="1"/>
  <c r="G67" s="1"/>
  <c r="A67" a="1"/>
  <c r="A67" s="1"/>
  <c r="K67" s="1" a="1"/>
  <c r="K67" s="1"/>
  <c r="G66" a="1"/>
  <c r="G66" s="1"/>
  <c r="A66" a="1"/>
  <c r="A66" s="1"/>
  <c r="K66" s="1" a="1"/>
  <c r="K66" s="1"/>
  <c r="G35" a="1"/>
  <c r="G35" s="1"/>
  <c r="A35" a="1"/>
  <c r="A35" s="1"/>
  <c r="K35" s="1" a="1"/>
  <c r="K35" s="1"/>
  <c r="G34" a="1"/>
  <c r="G34" s="1"/>
  <c r="A34" a="1"/>
  <c r="A34" s="1"/>
  <c r="K34" s="1" a="1"/>
  <c r="K34" s="1"/>
  <c r="G33" a="1"/>
  <c r="G33" s="1"/>
  <c r="A33" a="1"/>
  <c r="A33" s="1"/>
  <c r="K33" s="1" a="1"/>
  <c r="K33" s="1"/>
  <c r="G32" a="1"/>
  <c r="G32" s="1"/>
  <c r="A32" a="1"/>
  <c r="A32" s="1"/>
  <c r="K32" s="1" a="1"/>
  <c r="K32" s="1"/>
  <c r="G31" a="1"/>
  <c r="G31" s="1"/>
  <c r="A31" a="1"/>
  <c r="A31" s="1"/>
  <c r="K31" s="1" a="1"/>
  <c r="K31" s="1"/>
  <c r="G30" a="1"/>
  <c r="G30" s="1"/>
  <c r="A30" a="1"/>
  <c r="A30" s="1"/>
  <c r="K30" s="1" a="1"/>
  <c r="K30" s="1"/>
  <c r="G29" a="1"/>
  <c r="G29" s="1"/>
  <c r="A29" a="1"/>
  <c r="A29" s="1"/>
  <c r="K29" s="1" a="1"/>
  <c r="K29" s="1"/>
  <c r="G28" a="1"/>
  <c r="G28" s="1"/>
  <c r="A28" a="1"/>
  <c r="A28" s="1"/>
  <c r="K28" s="1" a="1"/>
  <c r="K28" s="1"/>
  <c r="G27" a="1"/>
  <c r="G27" s="1"/>
  <c r="A27" a="1"/>
  <c r="A27" s="1"/>
  <c r="K27" s="1" a="1"/>
  <c r="K27" s="1"/>
  <c r="G26" a="1"/>
  <c r="G26" s="1"/>
  <c r="A26" a="1"/>
  <c r="A26" s="1"/>
  <c r="K26" s="1" a="1"/>
  <c r="K26" s="1"/>
  <c r="G25" a="1"/>
  <c r="G25" s="1"/>
  <c r="A25" a="1"/>
  <c r="A25" s="1"/>
  <c r="K25" s="1" a="1"/>
  <c r="K25" s="1"/>
  <c r="G24" a="1"/>
  <c r="G24" s="1"/>
  <c r="A24" a="1"/>
  <c r="A24" s="1"/>
  <c r="K24" s="1" a="1"/>
  <c r="K24" s="1"/>
  <c r="G23" a="1"/>
  <c r="G23" s="1"/>
  <c r="A23" a="1"/>
  <c r="A23" s="1"/>
  <c r="K23" s="1" a="1"/>
  <c r="K23" s="1"/>
  <c r="G22" a="1"/>
  <c r="G22" s="1"/>
  <c r="A22" a="1"/>
  <c r="A22" s="1"/>
  <c r="K22" s="1" a="1"/>
  <c r="K22" s="1"/>
  <c r="G21" a="1"/>
  <c r="G21" s="1"/>
  <c r="A21" a="1"/>
  <c r="A21" s="1"/>
  <c r="K21" s="1" a="1"/>
  <c r="K21" s="1"/>
  <c r="G20" a="1"/>
  <c r="G20" s="1"/>
  <c r="A20" a="1"/>
  <c r="A20" s="1"/>
  <c r="K20" s="1" a="1"/>
  <c r="K20" s="1"/>
  <c r="G19" a="1"/>
  <c r="G19" s="1"/>
  <c r="A19" a="1"/>
  <c r="A19" s="1"/>
  <c r="K19" s="1" a="1"/>
  <c r="K19" s="1"/>
  <c r="G18" a="1"/>
  <c r="G18" s="1"/>
  <c r="A18" a="1"/>
  <c r="A18" s="1"/>
  <c r="K18" s="1" a="1"/>
  <c r="K18" s="1"/>
  <c r="G17" a="1"/>
  <c r="G17" s="1"/>
  <c r="A17" a="1"/>
  <c r="A17" s="1"/>
  <c r="K17" s="1" a="1"/>
  <c r="K17" s="1"/>
  <c r="G16" a="1"/>
  <c r="G16" s="1"/>
  <c r="A16" a="1"/>
  <c r="A16" s="1"/>
  <c r="K16" s="1" a="1"/>
  <c r="K16" s="1"/>
  <c r="G15" a="1"/>
  <c r="G15" s="1"/>
  <c r="A15" a="1"/>
  <c r="A15" s="1"/>
  <c r="K15" s="1" a="1"/>
  <c r="K15" s="1"/>
  <c r="G14" a="1"/>
  <c r="G14" s="1"/>
  <c r="A14" a="1"/>
  <c r="A14" s="1"/>
  <c r="K14" s="1" a="1"/>
  <c r="K14" s="1"/>
  <c r="G13" a="1"/>
  <c r="G13" s="1"/>
  <c r="A13" a="1"/>
  <c r="A13" s="1"/>
  <c r="K13" s="1" a="1"/>
  <c r="K13" s="1"/>
  <c r="G12" a="1"/>
  <c r="G12" s="1"/>
  <c r="A12" a="1"/>
  <c r="A12" s="1"/>
  <c r="K12" s="1" a="1"/>
  <c r="K12" s="1"/>
  <c r="G82" i="48" a="1"/>
  <c r="G82" s="1"/>
  <c r="A82" a="1"/>
  <c r="A82" s="1"/>
  <c r="G81" a="1"/>
  <c r="G81" s="1"/>
  <c r="A81" a="1"/>
  <c r="A81" s="1"/>
  <c r="G80" a="1"/>
  <c r="G80" s="1"/>
  <c r="A80" a="1"/>
  <c r="A80" s="1"/>
  <c r="G79" a="1"/>
  <c r="G79" s="1"/>
  <c r="A79" a="1"/>
  <c r="A79" s="1"/>
  <c r="G78" a="1"/>
  <c r="G78" s="1"/>
  <c r="A78" a="1"/>
  <c r="A78" s="1"/>
  <c r="G77" a="1"/>
  <c r="G77" s="1"/>
  <c r="A77" a="1"/>
  <c r="A77" s="1"/>
  <c r="G76" a="1"/>
  <c r="G76" s="1"/>
  <c r="A76" a="1"/>
  <c r="A76" s="1"/>
  <c r="G75" a="1"/>
  <c r="G75" s="1"/>
  <c r="A75" a="1"/>
  <c r="A75" s="1"/>
  <c r="G74" a="1"/>
  <c r="G74" s="1"/>
  <c r="A74" a="1"/>
  <c r="A74" s="1"/>
  <c r="G73" a="1"/>
  <c r="G73" s="1"/>
  <c r="A73" a="1"/>
  <c r="A73" s="1"/>
  <c r="G72" a="1"/>
  <c r="G72" s="1"/>
  <c r="A72" a="1"/>
  <c r="A72" s="1"/>
  <c r="G71" a="1"/>
  <c r="G71" s="1"/>
  <c r="A71" a="1"/>
  <c r="A71" s="1"/>
  <c r="G70" a="1"/>
  <c r="G70" s="1"/>
  <c r="A70" a="1"/>
  <c r="A70" s="1"/>
  <c r="G69" a="1"/>
  <c r="G69" s="1"/>
  <c r="A69" a="1"/>
  <c r="A69" s="1"/>
  <c r="G68" a="1"/>
  <c r="G68" s="1"/>
  <c r="A68" a="1"/>
  <c r="A68" s="1"/>
  <c r="G67" a="1"/>
  <c r="G67" s="1"/>
  <c r="A67" a="1"/>
  <c r="A67" s="1"/>
  <c r="H37" a="1"/>
  <c r="H37" s="1"/>
  <c r="G37" a="1"/>
  <c r="G37" s="1"/>
  <c r="A37" a="1"/>
  <c r="A37" s="1"/>
  <c r="H36" a="1"/>
  <c r="H36" s="1"/>
  <c r="G36" a="1"/>
  <c r="G36" s="1"/>
  <c r="A36" a="1"/>
  <c r="A36" s="1"/>
  <c r="H35" a="1"/>
  <c r="H35" s="1"/>
  <c r="G35" a="1"/>
  <c r="G35" s="1"/>
  <c r="A35" a="1"/>
  <c r="A35" s="1"/>
  <c r="H34" a="1"/>
  <c r="H34" s="1"/>
  <c r="G34" a="1"/>
  <c r="G34" s="1"/>
  <c r="A34" a="1"/>
  <c r="A34" s="1"/>
  <c r="H33" a="1"/>
  <c r="H33" s="1"/>
  <c r="G33" a="1"/>
  <c r="G33" s="1"/>
  <c r="A33" a="1"/>
  <c r="A33" s="1"/>
  <c r="H32" a="1"/>
  <c r="H32" s="1"/>
  <c r="G32" a="1"/>
  <c r="G32" s="1"/>
  <c r="A32" a="1"/>
  <c r="A32" s="1"/>
  <c r="H31" a="1"/>
  <c r="H31" s="1"/>
  <c r="G31" a="1"/>
  <c r="G31" s="1"/>
  <c r="A31" a="1"/>
  <c r="A31" s="1"/>
  <c r="H30" a="1"/>
  <c r="H30" s="1"/>
  <c r="G30" a="1"/>
  <c r="G30" s="1"/>
  <c r="A30" a="1"/>
  <c r="A30" s="1"/>
  <c r="H29" a="1"/>
  <c r="H29" s="1"/>
  <c r="G29" a="1"/>
  <c r="G29" s="1"/>
  <c r="A29" a="1"/>
  <c r="A29" s="1"/>
  <c r="H28" a="1"/>
  <c r="H28" s="1"/>
  <c r="G28" a="1"/>
  <c r="G28" s="1"/>
  <c r="A28" a="1"/>
  <c r="A28" s="1"/>
  <c r="H27" a="1"/>
  <c r="H27" s="1"/>
  <c r="G27" a="1"/>
  <c r="G27" s="1"/>
  <c r="A27" a="1"/>
  <c r="A27" s="1"/>
  <c r="H26" a="1"/>
  <c r="H26" s="1"/>
  <c r="G26" a="1"/>
  <c r="G26" s="1"/>
  <c r="A26" a="1"/>
  <c r="A26" s="1"/>
  <c r="H25" a="1"/>
  <c r="H25" s="1"/>
  <c r="G25" a="1"/>
  <c r="G25" s="1"/>
  <c r="A25" a="1"/>
  <c r="A25" s="1"/>
  <c r="H24" a="1"/>
  <c r="H24" s="1"/>
  <c r="G24" a="1"/>
  <c r="G24" s="1"/>
  <c r="A24" a="1"/>
  <c r="A24" s="1"/>
  <c r="H23" a="1"/>
  <c r="H23" s="1"/>
  <c r="G23" a="1"/>
  <c r="G23" s="1"/>
  <c r="A23" a="1"/>
  <c r="A23" s="1"/>
  <c r="H22" a="1"/>
  <c r="H22" s="1"/>
  <c r="G22" a="1"/>
  <c r="G22" s="1"/>
  <c r="A22" a="1"/>
  <c r="A22" s="1"/>
  <c r="H21" a="1"/>
  <c r="H21" s="1"/>
  <c r="G21" a="1"/>
  <c r="G21" s="1"/>
  <c r="A21" a="1"/>
  <c r="A21" s="1"/>
  <c r="H20" a="1"/>
  <c r="H20" s="1"/>
  <c r="G20" a="1"/>
  <c r="G20" s="1"/>
  <c r="A20" a="1"/>
  <c r="A20" s="1"/>
  <c r="H19" a="1"/>
  <c r="H19" s="1"/>
  <c r="G19" a="1"/>
  <c r="G19" s="1"/>
  <c r="A19" a="1"/>
  <c r="A19" s="1"/>
  <c r="H18" a="1"/>
  <c r="H18" s="1"/>
  <c r="G18" a="1"/>
  <c r="G18" s="1"/>
  <c r="A18" a="1"/>
  <c r="A18" s="1"/>
  <c r="H17" a="1"/>
  <c r="H17" s="1"/>
  <c r="G17" a="1"/>
  <c r="G17" s="1"/>
  <c r="A17" a="1"/>
  <c r="A17" s="1"/>
  <c r="H16" a="1"/>
  <c r="H16" s="1"/>
  <c r="G16" a="1"/>
  <c r="G16" s="1"/>
  <c r="A16" a="1"/>
  <c r="A16" s="1"/>
  <c r="H15" a="1"/>
  <c r="H15" s="1"/>
  <c r="G15" a="1"/>
  <c r="G15" s="1"/>
  <c r="A15" a="1"/>
  <c r="A15" s="1"/>
  <c r="H14" a="1"/>
  <c r="H14" s="1"/>
  <c r="G14" a="1"/>
  <c r="G14" s="1"/>
  <c r="A14" a="1"/>
  <c r="A14" s="1"/>
  <c r="AN163" i="31"/>
  <c r="AN162"/>
  <c r="AN161"/>
  <c r="AN160"/>
  <c r="AN159"/>
  <c r="AN158"/>
  <c r="AN157"/>
  <c r="AN156"/>
  <c r="AN155"/>
  <c r="AN154"/>
  <c r="AN153"/>
  <c r="AN152"/>
  <c r="AN151"/>
  <c r="AN150"/>
  <c r="AN149"/>
  <c r="AN148"/>
  <c r="AN147"/>
  <c r="AN146"/>
  <c r="AN145"/>
  <c r="AN144"/>
  <c r="AN143"/>
  <c r="AN142"/>
  <c r="AN141"/>
  <c r="AN140"/>
  <c r="AN139"/>
  <c r="AN138"/>
  <c r="AN137"/>
  <c r="AN136"/>
  <c r="AN135"/>
  <c r="AN134"/>
  <c r="AN133"/>
  <c r="AN132"/>
  <c r="AN131"/>
  <c r="AN130"/>
  <c r="AN129"/>
  <c r="AN128"/>
  <c r="AN127"/>
  <c r="AN126"/>
  <c r="AN125"/>
  <c r="AN124"/>
  <c r="AN123"/>
  <c r="AN122"/>
  <c r="AN121"/>
  <c r="AN120"/>
  <c r="AN119"/>
  <c r="AN118"/>
  <c r="AN117"/>
  <c r="AN116"/>
  <c r="AN115"/>
  <c r="AN114"/>
  <c r="AN113"/>
  <c r="AN112"/>
  <c r="AN111"/>
  <c r="AN110"/>
  <c r="AN109"/>
  <c r="AN108"/>
  <c r="AN107"/>
  <c r="AN106"/>
  <c r="AN105"/>
  <c r="AN104"/>
  <c r="AN103"/>
  <c r="AN102"/>
  <c r="AN101"/>
  <c r="AN100"/>
  <c r="AN99"/>
  <c r="AN98"/>
  <c r="AN97"/>
  <c r="AN96"/>
  <c r="AN95"/>
  <c r="AN94"/>
  <c r="AN93"/>
  <c r="AN92"/>
  <c r="AN91"/>
  <c r="AN90"/>
  <c r="AN89"/>
  <c r="AN88"/>
  <c r="AN87"/>
  <c r="AN86"/>
  <c r="AN81"/>
  <c r="AN80"/>
  <c r="AN79"/>
  <c r="AN78"/>
  <c r="AN77"/>
  <c r="AN76"/>
  <c r="AN75"/>
  <c r="AN74"/>
  <c r="AN73"/>
  <c r="AN72"/>
  <c r="AN71"/>
  <c r="AN70"/>
  <c r="AN69"/>
  <c r="AN68"/>
  <c r="AN67"/>
  <c r="AN66"/>
  <c r="AN65"/>
  <c r="AN64"/>
  <c r="AN63"/>
  <c r="AN62"/>
  <c r="AN61"/>
  <c r="AN60"/>
  <c r="AN59"/>
  <c r="AN58"/>
  <c r="AN57"/>
  <c r="AN56"/>
  <c r="AN55"/>
  <c r="AN54"/>
  <c r="AN53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N4"/>
  <c r="AN3"/>
  <c r="AN2"/>
  <c r="AM160"/>
  <c r="AM159"/>
  <c r="AM158"/>
  <c r="AM157"/>
  <c r="AM156"/>
  <c r="AM155"/>
  <c r="AM154"/>
  <c r="AM153"/>
  <c r="AM152"/>
  <c r="AM151"/>
  <c r="AM150"/>
  <c r="AM149"/>
  <c r="AM148"/>
  <c r="AM147"/>
  <c r="AM146"/>
  <c r="AM145"/>
  <c r="AM144"/>
  <c r="AM143"/>
  <c r="AM142"/>
  <c r="AM141"/>
  <c r="AM140"/>
  <c r="AM139"/>
  <c r="AM138"/>
  <c r="AM137"/>
  <c r="AM136"/>
  <c r="AM135"/>
  <c r="AM134"/>
  <c r="AM133"/>
  <c r="AM132"/>
  <c r="AM131"/>
  <c r="AM130"/>
  <c r="AM129"/>
  <c r="AM128"/>
  <c r="AM127"/>
  <c r="AM126"/>
  <c r="AM125"/>
  <c r="AM124"/>
  <c r="AM123"/>
  <c r="AM122"/>
  <c r="AM121"/>
  <c r="AM120"/>
  <c r="AM119"/>
  <c r="AM118"/>
  <c r="AM117"/>
  <c r="AM116"/>
  <c r="AM115"/>
  <c r="AM114"/>
  <c r="AM113"/>
  <c r="AM112"/>
  <c r="AM111"/>
  <c r="AM110"/>
  <c r="AM109"/>
  <c r="AM108"/>
  <c r="AM107"/>
  <c r="AM106"/>
  <c r="AM105"/>
  <c r="AM104"/>
  <c r="AM103"/>
  <c r="AM102"/>
  <c r="AM101"/>
  <c r="AM100"/>
  <c r="AM99"/>
  <c r="AM98"/>
  <c r="AM97"/>
  <c r="AM96"/>
  <c r="AM95"/>
  <c r="AM94"/>
  <c r="AM93"/>
  <c r="AM92"/>
  <c r="AM91"/>
  <c r="AM90"/>
  <c r="AM89"/>
  <c r="AM88"/>
  <c r="AM87"/>
  <c r="AM86"/>
  <c r="AM85"/>
  <c r="AM84"/>
  <c r="AM83"/>
  <c r="AM82"/>
  <c r="AM77"/>
  <c r="AM76"/>
  <c r="AM67"/>
  <c r="AM66"/>
  <c r="AM65"/>
  <c r="AM64"/>
  <c r="AM63"/>
  <c r="AM62"/>
  <c r="AM61"/>
  <c r="AM60"/>
  <c r="AM59"/>
  <c r="AM58"/>
  <c r="AM57"/>
  <c r="AM56"/>
  <c r="AM55"/>
  <c r="AM54"/>
  <c r="AM53"/>
  <c r="AM52"/>
  <c r="AM47"/>
  <c r="AM46"/>
  <c r="AM45"/>
  <c r="AM44"/>
  <c r="AM43"/>
  <c r="AM42"/>
  <c r="AM41"/>
  <c r="AM40"/>
  <c r="AL36"/>
  <c r="AL37"/>
  <c r="AL38"/>
  <c r="AL39"/>
  <c r="AL48"/>
  <c r="AL49"/>
  <c r="AL50"/>
  <c r="AL51"/>
  <c r="AL68"/>
  <c r="AL69"/>
  <c r="AL70"/>
  <c r="AL71"/>
  <c r="AL72"/>
  <c r="AL73"/>
  <c r="AL74"/>
  <c r="AL75"/>
  <c r="AL82"/>
  <c r="AL83"/>
  <c r="AL84"/>
  <c r="AL85"/>
  <c r="AL96"/>
  <c r="AL97"/>
  <c r="AL98"/>
  <c r="AL99"/>
  <c r="AL100"/>
  <c r="AL101"/>
  <c r="AL102"/>
  <c r="AL103"/>
  <c r="AL104"/>
  <c r="AL105"/>
  <c r="AL106"/>
  <c r="AL107"/>
  <c r="AL108"/>
  <c r="AL109"/>
  <c r="AL110"/>
  <c r="AL111"/>
  <c r="AL112"/>
  <c r="AL113"/>
  <c r="AL114"/>
  <c r="AL115"/>
  <c r="AL116"/>
  <c r="AL117"/>
  <c r="AL118"/>
  <c r="AL119"/>
  <c r="AL120"/>
  <c r="AL121"/>
  <c r="AL122"/>
  <c r="AL123"/>
  <c r="AL124"/>
  <c r="AL125"/>
  <c r="AL126"/>
  <c r="AL127"/>
  <c r="AL128"/>
  <c r="AL129"/>
  <c r="AL130"/>
  <c r="AL131"/>
  <c r="AL132"/>
  <c r="AL133"/>
  <c r="AL134"/>
  <c r="AL135"/>
  <c r="AL136"/>
  <c r="AL137"/>
  <c r="AL138"/>
  <c r="AL139"/>
  <c r="AL140"/>
  <c r="AL141"/>
  <c r="AL142"/>
  <c r="AL143"/>
  <c r="AL144"/>
  <c r="AL145"/>
  <c r="AL146"/>
  <c r="AL147"/>
  <c r="AL148"/>
  <c r="AL149"/>
  <c r="AL150"/>
  <c r="AL151"/>
  <c r="AL152"/>
  <c r="AL153"/>
  <c r="AL154"/>
  <c r="AL155"/>
  <c r="AL156"/>
  <c r="AL157"/>
  <c r="AL158"/>
  <c r="AL159"/>
  <c r="AL160"/>
  <c r="AT1"/>
  <c r="I18" i="48" l="1"/>
  <c r="I20"/>
  <c r="I31"/>
  <c r="I33"/>
  <c r="I35"/>
  <c r="I14"/>
  <c r="I15"/>
  <c r="I17"/>
  <c r="I19"/>
  <c r="I21"/>
  <c r="I23"/>
  <c r="I25"/>
  <c r="I27"/>
  <c r="I29"/>
  <c r="J22"/>
  <c r="I22"/>
  <c r="J24"/>
  <c r="I24"/>
  <c r="J26"/>
  <c r="I26"/>
  <c r="J28"/>
  <c r="I28"/>
  <c r="J30"/>
  <c r="I30"/>
  <c r="K32"/>
  <c r="I32"/>
  <c r="J34"/>
  <c r="I34"/>
  <c r="K36"/>
  <c r="I36"/>
  <c r="J67"/>
  <c r="I67"/>
  <c r="K68"/>
  <c r="I68"/>
  <c r="J69"/>
  <c r="I69"/>
  <c r="K70"/>
  <c r="I70"/>
  <c r="J71"/>
  <c r="I71"/>
  <c r="K72"/>
  <c r="I72"/>
  <c r="J73"/>
  <c r="I73"/>
  <c r="K74"/>
  <c r="I74"/>
  <c r="J75"/>
  <c r="I75"/>
  <c r="K76"/>
  <c r="I76"/>
  <c r="J77"/>
  <c r="I77"/>
  <c r="K78"/>
  <c r="I78"/>
  <c r="J79"/>
  <c r="I79"/>
  <c r="K80"/>
  <c r="I80"/>
  <c r="J81"/>
  <c r="I81"/>
  <c r="K82"/>
  <c r="I82"/>
  <c r="K16"/>
  <c r="I16"/>
  <c r="K37"/>
  <c r="I37"/>
  <c r="J18"/>
  <c r="J20"/>
  <c r="J17"/>
  <c r="J19"/>
  <c r="J21"/>
  <c r="J23"/>
  <c r="J25"/>
  <c r="J27"/>
  <c r="J29"/>
  <c r="J31"/>
  <c r="J33"/>
  <c r="J35"/>
  <c r="J14"/>
  <c r="J15"/>
  <c r="K14"/>
  <c r="K15"/>
  <c r="K18"/>
  <c r="K19"/>
  <c r="K20"/>
  <c r="K21"/>
  <c r="K22"/>
  <c r="K33"/>
  <c r="K34"/>
  <c r="K35"/>
  <c r="J16"/>
  <c r="I12" i="51" a="1"/>
  <c r="I12" s="1"/>
  <c r="I13" a="1"/>
  <c r="I13" s="1"/>
  <c r="I14" a="1"/>
  <c r="I14" s="1"/>
  <c r="I15" a="1"/>
  <c r="I15" s="1"/>
  <c r="I16" a="1"/>
  <c r="I16" s="1"/>
  <c r="I17" a="1"/>
  <c r="I17" s="1"/>
  <c r="I18" a="1"/>
  <c r="I18" s="1"/>
  <c r="I19" a="1"/>
  <c r="I19" s="1"/>
  <c r="I20" a="1"/>
  <c r="I20" s="1"/>
  <c r="I21" a="1"/>
  <c r="I21" s="1"/>
  <c r="I22" a="1"/>
  <c r="I22" s="1"/>
  <c r="I23" a="1"/>
  <c r="I23" s="1"/>
  <c r="I24" a="1"/>
  <c r="I24" s="1"/>
  <c r="I25" a="1"/>
  <c r="I25" s="1"/>
  <c r="I26" a="1"/>
  <c r="I26" s="1"/>
  <c r="I27" a="1"/>
  <c r="I27" s="1"/>
  <c r="I28" a="1"/>
  <c r="I28" s="1"/>
  <c r="I29" a="1"/>
  <c r="I29" s="1"/>
  <c r="I30" a="1"/>
  <c r="I30" s="1"/>
  <c r="I31" a="1"/>
  <c r="I31" s="1"/>
  <c r="I32" a="1"/>
  <c r="I32" s="1"/>
  <c r="I33" a="1"/>
  <c r="I33" s="1"/>
  <c r="I34" a="1"/>
  <c r="I34" s="1"/>
  <c r="I35" a="1"/>
  <c r="I35" s="1"/>
  <c r="I66" a="1"/>
  <c r="I66" s="1"/>
  <c r="I67" a="1"/>
  <c r="I67" s="1"/>
  <c r="I68" a="1"/>
  <c r="I68" s="1"/>
  <c r="I69" a="1"/>
  <c r="I69" s="1"/>
  <c r="I70" a="1"/>
  <c r="I70" s="1"/>
  <c r="I71" a="1"/>
  <c r="I71" s="1"/>
  <c r="I72" a="1"/>
  <c r="I72" s="1"/>
  <c r="I73" a="1"/>
  <c r="I73" s="1"/>
  <c r="I74" a="1"/>
  <c r="I74" s="1"/>
  <c r="I75" a="1"/>
  <c r="I75" s="1"/>
  <c r="I76" a="1"/>
  <c r="I76" s="1"/>
  <c r="I77" a="1"/>
  <c r="I77" s="1"/>
  <c r="I78" a="1"/>
  <c r="I78" s="1"/>
  <c r="I79" a="1"/>
  <c r="I79" s="1"/>
  <c r="I80" a="1"/>
  <c r="I80" s="1"/>
  <c r="I81" a="1"/>
  <c r="I81" s="1"/>
  <c r="F17" i="48"/>
  <c r="K17"/>
  <c r="K23"/>
  <c r="K24"/>
  <c r="K25"/>
  <c r="K26"/>
  <c r="K27"/>
  <c r="K28"/>
  <c r="K29"/>
  <c r="K30"/>
  <c r="K31"/>
  <c r="J32"/>
  <c r="F33"/>
  <c r="F34"/>
  <c r="F35"/>
  <c r="F36"/>
  <c r="J36"/>
  <c r="F37"/>
  <c r="J37"/>
  <c r="F67"/>
  <c r="K67"/>
  <c r="J68"/>
  <c r="F69"/>
  <c r="K69"/>
  <c r="J70"/>
  <c r="F71"/>
  <c r="K71"/>
  <c r="J72"/>
  <c r="F73"/>
  <c r="K73"/>
  <c r="J74"/>
  <c r="F75"/>
  <c r="K75"/>
  <c r="J76"/>
  <c r="F77"/>
  <c r="K77"/>
  <c r="J78"/>
  <c r="F79"/>
  <c r="K79"/>
  <c r="J80"/>
  <c r="F81"/>
  <c r="K81"/>
  <c r="J82"/>
  <c r="F12" i="51"/>
  <c r="H12" a="1"/>
  <c r="H12" s="1"/>
  <c r="F13"/>
  <c r="H13" a="1"/>
  <c r="H13" s="1"/>
  <c r="F14"/>
  <c r="H14" a="1"/>
  <c r="H14" s="1"/>
  <c r="F15"/>
  <c r="H15" a="1"/>
  <c r="H15" s="1"/>
  <c r="F16"/>
  <c r="H16" a="1"/>
  <c r="H16" s="1"/>
  <c r="F17"/>
  <c r="H17" a="1"/>
  <c r="H17" s="1"/>
  <c r="F18"/>
  <c r="H18" a="1"/>
  <c r="H18" s="1"/>
  <c r="F19"/>
  <c r="H19" a="1"/>
  <c r="H19" s="1"/>
  <c r="F20"/>
  <c r="H20" a="1"/>
  <c r="H20" s="1"/>
  <c r="F21"/>
  <c r="H21" a="1"/>
  <c r="H21" s="1"/>
  <c r="F22"/>
  <c r="H22" a="1"/>
  <c r="H22" s="1"/>
  <c r="F23"/>
  <c r="H23" a="1"/>
  <c r="H23" s="1"/>
  <c r="F24"/>
  <c r="H24" a="1"/>
  <c r="H24" s="1"/>
  <c r="F25"/>
  <c r="H25" a="1"/>
  <c r="H25" s="1"/>
  <c r="F26"/>
  <c r="H26" a="1"/>
  <c r="H26" s="1"/>
  <c r="F27"/>
  <c r="H27" a="1"/>
  <c r="H27" s="1"/>
  <c r="F28"/>
  <c r="H28" a="1"/>
  <c r="H28" s="1"/>
  <c r="F29"/>
  <c r="H29" a="1"/>
  <c r="H29" s="1"/>
  <c r="F30"/>
  <c r="H30" a="1"/>
  <c r="H30" s="1"/>
  <c r="F31"/>
  <c r="H31" a="1"/>
  <c r="H31" s="1"/>
  <c r="F32"/>
  <c r="H32" a="1"/>
  <c r="H32" s="1"/>
  <c r="F33"/>
  <c r="H33" a="1"/>
  <c r="H33" s="1"/>
  <c r="F34"/>
  <c r="H34" a="1"/>
  <c r="H34" s="1"/>
  <c r="F35"/>
  <c r="H35" a="1"/>
  <c r="H35" s="1"/>
  <c r="F66"/>
  <c r="H66" a="1"/>
  <c r="H66" s="1"/>
  <c r="F67"/>
  <c r="H67" a="1"/>
  <c r="H67" s="1"/>
  <c r="F68"/>
  <c r="H68" a="1"/>
  <c r="H68" s="1"/>
  <c r="F69"/>
  <c r="H69" a="1"/>
  <c r="H69" s="1"/>
  <c r="F70"/>
  <c r="H70" a="1"/>
  <c r="H70" s="1"/>
  <c r="F71"/>
  <c r="H71" a="1"/>
  <c r="H71" s="1"/>
  <c r="F72"/>
  <c r="H72" a="1"/>
  <c r="H72" s="1"/>
  <c r="F73"/>
  <c r="H73" a="1"/>
  <c r="H73" s="1"/>
  <c r="F74"/>
  <c r="H74" a="1"/>
  <c r="H74" s="1"/>
  <c r="F75"/>
  <c r="H75" a="1"/>
  <c r="H75" s="1"/>
  <c r="F76"/>
  <c r="H76" a="1"/>
  <c r="H76" s="1"/>
  <c r="F77"/>
  <c r="H77" a="1"/>
  <c r="H77" s="1"/>
  <c r="F78"/>
  <c r="H78" a="1"/>
  <c r="H78" s="1"/>
  <c r="F79"/>
  <c r="H79" a="1"/>
  <c r="H79" s="1"/>
  <c r="F80"/>
  <c r="H80" a="1"/>
  <c r="H80" s="1"/>
  <c r="F81"/>
  <c r="H81" a="1"/>
  <c r="H81" s="1"/>
  <c r="F14" i="48"/>
  <c r="F15"/>
  <c r="F16"/>
  <c r="F18"/>
  <c r="F19"/>
  <c r="F20"/>
  <c r="F21"/>
  <c r="F22"/>
  <c r="F23"/>
  <c r="F24"/>
  <c r="F25"/>
  <c r="F26"/>
  <c r="F27"/>
  <c r="F28"/>
  <c r="F29"/>
  <c r="F30"/>
  <c r="F31"/>
  <c r="F32"/>
  <c r="F68"/>
  <c r="F70"/>
  <c r="F72"/>
  <c r="F74"/>
  <c r="F76"/>
  <c r="F78"/>
  <c r="F80"/>
  <c r="F82"/>
  <c r="U380" i="33" l="1"/>
  <c r="U358"/>
  <c r="U359"/>
  <c r="U360"/>
  <c r="U361"/>
  <c r="U362"/>
  <c r="U363"/>
  <c r="U364"/>
  <c r="U365"/>
  <c r="U366"/>
  <c r="U356" l="1"/>
  <c r="U357"/>
  <c r="CS110" i="37"/>
  <c r="CS109"/>
  <c r="CS108"/>
  <c r="CS107"/>
  <c r="CS106"/>
  <c r="CS105"/>
  <c r="CS104"/>
  <c r="CS103"/>
  <c r="CS102"/>
  <c r="CS101"/>
  <c r="CS100"/>
  <c r="CS99"/>
  <c r="CS98"/>
  <c r="CS97"/>
  <c r="CS96"/>
  <c r="CS95"/>
  <c r="CS94"/>
  <c r="CS93"/>
  <c r="CS92"/>
  <c r="CS91"/>
  <c r="CS90"/>
  <c r="CS89"/>
  <c r="CS88"/>
  <c r="CS87"/>
  <c r="CS86"/>
  <c r="CS85"/>
  <c r="CS84"/>
  <c r="CS83"/>
  <c r="CS82"/>
  <c r="CS81"/>
  <c r="CS80"/>
  <c r="CS79"/>
  <c r="CS78"/>
  <c r="CS77"/>
  <c r="CS76"/>
  <c r="CS75"/>
  <c r="CS74"/>
  <c r="CS73"/>
  <c r="CS72"/>
  <c r="CS71"/>
  <c r="CS70"/>
  <c r="CS69"/>
  <c r="CS68"/>
  <c r="CS67"/>
  <c r="CS66"/>
  <c r="CS65"/>
  <c r="CS64"/>
  <c r="CS63"/>
  <c r="CS62"/>
  <c r="CS61"/>
  <c r="CS60"/>
  <c r="CS59"/>
  <c r="CS58"/>
  <c r="CS57"/>
  <c r="CS56"/>
  <c r="CS55"/>
  <c r="CS54"/>
  <c r="CS53"/>
  <c r="CS52"/>
  <c r="CS51"/>
  <c r="CS50"/>
  <c r="CS49"/>
  <c r="CS48"/>
  <c r="CS47"/>
  <c r="CS46"/>
  <c r="CS45"/>
  <c r="CS44"/>
  <c r="CS43"/>
  <c r="CS42"/>
  <c r="CS41"/>
  <c r="CS40"/>
  <c r="CS39"/>
  <c r="CS38"/>
  <c r="CS37"/>
  <c r="CS36"/>
  <c r="CS35"/>
  <c r="CS34"/>
  <c r="CS33"/>
  <c r="CS32"/>
  <c r="CS31"/>
  <c r="CS30"/>
  <c r="CS29"/>
  <c r="CS28"/>
  <c r="CS27"/>
  <c r="CS26"/>
  <c r="CS25"/>
  <c r="CS24"/>
  <c r="CS23"/>
  <c r="CS22"/>
  <c r="CS21"/>
  <c r="CS20"/>
  <c r="CS19"/>
  <c r="CS10"/>
  <c r="CS18"/>
  <c r="CS13"/>
  <c r="CS12"/>
  <c r="CS15"/>
  <c r="CS11"/>
  <c r="CS17"/>
  <c r="CS14"/>
  <c r="CS16"/>
  <c r="Q41" l="1" a="1"/>
  <c r="Q41" s="1"/>
  <c r="Q40" a="1"/>
  <c r="Q40" s="1"/>
  <c r="Q39" a="1"/>
  <c r="Q39" s="1"/>
  <c r="Q38" a="1"/>
  <c r="Q38" s="1"/>
  <c r="Q37" a="1"/>
  <c r="Q37" s="1"/>
  <c r="Q36" a="1"/>
  <c r="Q36" s="1"/>
  <c r="Q35" a="1"/>
  <c r="Q35" s="1"/>
  <c r="Q34" a="1"/>
  <c r="Q34" s="1"/>
  <c r="Q33" a="1"/>
  <c r="Q33" s="1"/>
  <c r="Q32" a="1"/>
  <c r="Q32" s="1"/>
  <c r="Q31" a="1"/>
  <c r="Q31" s="1"/>
  <c r="Q30" a="1"/>
  <c r="Q30" s="1"/>
  <c r="Q29" a="1"/>
  <c r="Q29" s="1"/>
  <c r="Q28" a="1"/>
  <c r="Q28" s="1"/>
  <c r="Q27" a="1"/>
  <c r="Q27" s="1"/>
  <c r="Q26" a="1"/>
  <c r="Q26" s="1"/>
  <c r="Q25" a="1"/>
  <c r="Q25" s="1"/>
  <c r="Q24" a="1"/>
  <c r="Q24" s="1"/>
  <c r="Q23" a="1"/>
  <c r="Q23" s="1"/>
  <c r="Q22" a="1"/>
  <c r="Q22" s="1"/>
  <c r="Q21" a="1"/>
  <c r="Q21" s="1"/>
  <c r="Q20" a="1"/>
  <c r="Q20" s="1"/>
  <c r="Q19" a="1"/>
  <c r="Q19" s="1"/>
  <c r="Q18" a="1"/>
  <c r="Q18" s="1"/>
  <c r="Q17" a="1"/>
  <c r="Q17" s="1"/>
  <c r="Q15" a="1"/>
  <c r="Q15" s="1"/>
  <c r="Q14" a="1"/>
  <c r="Q14" s="1"/>
  <c r="Q13" a="1"/>
  <c r="Q13" s="1"/>
  <c r="Q12" a="1"/>
  <c r="Q12" s="1"/>
  <c r="Q11" a="1"/>
  <c r="Q11" s="1"/>
  <c r="Q10" a="1"/>
  <c r="Q10" s="1"/>
  <c r="P41" a="1"/>
  <c r="P41" s="1"/>
  <c r="P40" a="1"/>
  <c r="P40" s="1"/>
  <c r="P39" a="1"/>
  <c r="P39" s="1"/>
  <c r="P38" a="1"/>
  <c r="P38" s="1"/>
  <c r="P37" a="1"/>
  <c r="P37" s="1"/>
  <c r="P36" a="1"/>
  <c r="P36" s="1"/>
  <c r="P35" a="1"/>
  <c r="P35" s="1"/>
  <c r="P34" a="1"/>
  <c r="P34" s="1"/>
  <c r="P33" a="1"/>
  <c r="P33" s="1"/>
  <c r="P32" a="1"/>
  <c r="P32" s="1"/>
  <c r="P31" a="1"/>
  <c r="P31" s="1"/>
  <c r="P30" a="1"/>
  <c r="P30" s="1"/>
  <c r="P29" a="1"/>
  <c r="P29" s="1"/>
  <c r="P28" a="1"/>
  <c r="P28" s="1"/>
  <c r="P27" a="1"/>
  <c r="P27" s="1"/>
  <c r="P26" a="1"/>
  <c r="P26" s="1"/>
  <c r="P25" a="1"/>
  <c r="P25" s="1"/>
  <c r="P24" a="1"/>
  <c r="P24" s="1"/>
  <c r="P23" a="1"/>
  <c r="P23" s="1"/>
  <c r="P22" a="1"/>
  <c r="P22" s="1"/>
  <c r="P21" a="1"/>
  <c r="P21" s="1"/>
  <c r="P20" a="1"/>
  <c r="P20" s="1"/>
  <c r="P19" a="1"/>
  <c r="P19" s="1"/>
  <c r="P18" a="1"/>
  <c r="P18" s="1"/>
  <c r="P17" a="1"/>
  <c r="P17" s="1"/>
  <c r="P16" a="1"/>
  <c r="P16" s="1"/>
  <c r="P15" a="1"/>
  <c r="P15" s="1"/>
  <c r="P14" a="1"/>
  <c r="P14" s="1"/>
  <c r="P13" a="1"/>
  <c r="P13" s="1"/>
  <c r="P12" a="1"/>
  <c r="P12" s="1"/>
  <c r="P11" a="1"/>
  <c r="P11" s="1"/>
  <c r="P10" a="1"/>
  <c r="P10" s="1"/>
  <c r="U354" i="33"/>
  <c r="U355"/>
  <c r="AQ11" i="37"/>
  <c r="CQ110" l="1"/>
  <c r="CQ109"/>
  <c r="CQ108"/>
  <c r="CQ107"/>
  <c r="CQ106"/>
  <c r="CQ105"/>
  <c r="CQ104"/>
  <c r="CQ103"/>
  <c r="CQ102"/>
  <c r="CQ101"/>
  <c r="CQ100"/>
  <c r="CQ99"/>
  <c r="CQ98"/>
  <c r="CQ97"/>
  <c r="CQ96"/>
  <c r="CQ95"/>
  <c r="CQ94"/>
  <c r="CQ93"/>
  <c r="CQ92"/>
  <c r="CQ91"/>
  <c r="CQ90"/>
  <c r="CQ89"/>
  <c r="CQ88"/>
  <c r="CQ87"/>
  <c r="CQ86"/>
  <c r="CQ85"/>
  <c r="CQ84"/>
  <c r="CQ83"/>
  <c r="CQ82"/>
  <c r="CQ81"/>
  <c r="CQ80"/>
  <c r="CQ79"/>
  <c r="CQ78"/>
  <c r="CQ77"/>
  <c r="CQ76"/>
  <c r="CQ75"/>
  <c r="CQ74"/>
  <c r="CQ73"/>
  <c r="CQ72"/>
  <c r="CQ71"/>
  <c r="CQ70"/>
  <c r="CQ69"/>
  <c r="CQ68"/>
  <c r="CQ67"/>
  <c r="CQ66"/>
  <c r="CQ65"/>
  <c r="CQ64"/>
  <c r="CQ63"/>
  <c r="CQ62"/>
  <c r="CQ61"/>
  <c r="CQ60"/>
  <c r="CQ59"/>
  <c r="CQ58"/>
  <c r="CQ57"/>
  <c r="CQ56"/>
  <c r="CQ55"/>
  <c r="CQ54"/>
  <c r="CQ53"/>
  <c r="CQ52"/>
  <c r="CQ51"/>
  <c r="CQ50"/>
  <c r="CQ49"/>
  <c r="CQ48"/>
  <c r="CQ47"/>
  <c r="CQ46"/>
  <c r="CQ45"/>
  <c r="CQ44"/>
  <c r="CQ43"/>
  <c r="CQ42"/>
  <c r="CQ41"/>
  <c r="CQ40"/>
  <c r="CQ39"/>
  <c r="CQ38"/>
  <c r="CR109"/>
  <c r="CP109"/>
  <c r="CO109"/>
  <c r="CN109"/>
  <c r="CM109"/>
  <c r="CL109"/>
  <c r="CK109"/>
  <c r="CJ109"/>
  <c r="CI109"/>
  <c r="CH109"/>
  <c r="CG109"/>
  <c r="CA109"/>
  <c r="CR108"/>
  <c r="CP108"/>
  <c r="CO108"/>
  <c r="CN108"/>
  <c r="CM108"/>
  <c r="CL108"/>
  <c r="CK108"/>
  <c r="CJ108"/>
  <c r="CI108"/>
  <c r="CH108"/>
  <c r="CG108"/>
  <c r="CA108"/>
  <c r="CR107"/>
  <c r="CP107"/>
  <c r="CO107"/>
  <c r="CN107"/>
  <c r="CM107"/>
  <c r="CL107"/>
  <c r="CK107"/>
  <c r="CJ107"/>
  <c r="CI107"/>
  <c r="CH107"/>
  <c r="CG107"/>
  <c r="CA107"/>
  <c r="CR106"/>
  <c r="CP106"/>
  <c r="CO106"/>
  <c r="CN106"/>
  <c r="CM106"/>
  <c r="CL106"/>
  <c r="CK106"/>
  <c r="CJ106"/>
  <c r="CI106"/>
  <c r="CH106"/>
  <c r="CG106"/>
  <c r="CA106"/>
  <c r="CR105"/>
  <c r="CP105"/>
  <c r="CO105"/>
  <c r="CN105"/>
  <c r="CM105"/>
  <c r="CL105"/>
  <c r="CK105"/>
  <c r="CJ105"/>
  <c r="CI105"/>
  <c r="CH105"/>
  <c r="CG105"/>
  <c r="CA105"/>
  <c r="CR104"/>
  <c r="CP104"/>
  <c r="CO104"/>
  <c r="CN104"/>
  <c r="CM104"/>
  <c r="CL104"/>
  <c r="CK104"/>
  <c r="CJ104"/>
  <c r="CI104"/>
  <c r="CH104"/>
  <c r="CG104"/>
  <c r="CA104"/>
  <c r="CR103"/>
  <c r="CP103"/>
  <c r="CO103"/>
  <c r="CN103"/>
  <c r="CM103"/>
  <c r="CL103"/>
  <c r="CK103"/>
  <c r="CJ103"/>
  <c r="CI103"/>
  <c r="CH103"/>
  <c r="CG103"/>
  <c r="CA103"/>
  <c r="CR102"/>
  <c r="CP102"/>
  <c r="CO102"/>
  <c r="CN102"/>
  <c r="CM102"/>
  <c r="CL102"/>
  <c r="CK102"/>
  <c r="CJ102"/>
  <c r="CI102"/>
  <c r="CH102"/>
  <c r="CG102"/>
  <c r="CA102"/>
  <c r="CR101"/>
  <c r="CP101"/>
  <c r="CO101"/>
  <c r="CN101"/>
  <c r="CM101"/>
  <c r="CL101"/>
  <c r="CK101"/>
  <c r="CJ101"/>
  <c r="CI101"/>
  <c r="CH101"/>
  <c r="CG101"/>
  <c r="CA101"/>
  <c r="CR100"/>
  <c r="CP100"/>
  <c r="CO100"/>
  <c r="CN100"/>
  <c r="CM100"/>
  <c r="CL100"/>
  <c r="CK100"/>
  <c r="CJ100"/>
  <c r="CI100"/>
  <c r="CH100"/>
  <c r="CG100"/>
  <c r="CA100"/>
  <c r="CR99"/>
  <c r="CP99"/>
  <c r="CO99"/>
  <c r="CN99"/>
  <c r="CM99"/>
  <c r="CL99"/>
  <c r="CK99"/>
  <c r="CJ99"/>
  <c r="CI99"/>
  <c r="CH99"/>
  <c r="CG99"/>
  <c r="CA99"/>
  <c r="CR98"/>
  <c r="CP98"/>
  <c r="CO98"/>
  <c r="CN98"/>
  <c r="CM98"/>
  <c r="CL98"/>
  <c r="CK98"/>
  <c r="CJ98"/>
  <c r="CI98"/>
  <c r="CH98"/>
  <c r="CG98"/>
  <c r="CA98"/>
  <c r="CR97"/>
  <c r="CP97"/>
  <c r="CO97"/>
  <c r="CN97"/>
  <c r="CM97"/>
  <c r="CL97"/>
  <c r="CK97"/>
  <c r="CJ97"/>
  <c r="CI97"/>
  <c r="CH97"/>
  <c r="CG97"/>
  <c r="CA97"/>
  <c r="CR96"/>
  <c r="CP96"/>
  <c r="CO96"/>
  <c r="CN96"/>
  <c r="CM96"/>
  <c r="CL96"/>
  <c r="CK96"/>
  <c r="CJ96"/>
  <c r="CI96"/>
  <c r="CH96"/>
  <c r="CG96"/>
  <c r="CA96"/>
  <c r="CR95"/>
  <c r="CP95"/>
  <c r="CO95"/>
  <c r="CN95"/>
  <c r="CM95"/>
  <c r="CL95"/>
  <c r="CK95"/>
  <c r="CJ95"/>
  <c r="CI95"/>
  <c r="CH95"/>
  <c r="CG95"/>
  <c r="CA95"/>
  <c r="CR94"/>
  <c r="CP94"/>
  <c r="CO94"/>
  <c r="CN94"/>
  <c r="CM94"/>
  <c r="CL94"/>
  <c r="CK94"/>
  <c r="CJ94"/>
  <c r="CI94"/>
  <c r="CH94"/>
  <c r="CG94"/>
  <c r="CA94"/>
  <c r="CR93"/>
  <c r="CP93"/>
  <c r="CO93"/>
  <c r="CN93"/>
  <c r="CM93"/>
  <c r="CL93"/>
  <c r="CK93"/>
  <c r="CJ93"/>
  <c r="CI93"/>
  <c r="CH93"/>
  <c r="CG93"/>
  <c r="CA93"/>
  <c r="CR92"/>
  <c r="CP92"/>
  <c r="CO92"/>
  <c r="CN92"/>
  <c r="CM92"/>
  <c r="CL92"/>
  <c r="CK92"/>
  <c r="CJ92"/>
  <c r="CI92"/>
  <c r="CH92"/>
  <c r="CG92"/>
  <c r="CA92"/>
  <c r="CR91"/>
  <c r="CP91"/>
  <c r="CO91"/>
  <c r="CN91"/>
  <c r="CM91"/>
  <c r="CL91"/>
  <c r="CK91"/>
  <c r="CJ91"/>
  <c r="CI91"/>
  <c r="CH91"/>
  <c r="CG91"/>
  <c r="CA91"/>
  <c r="CR90"/>
  <c r="CP90"/>
  <c r="CO90"/>
  <c r="CN90"/>
  <c r="CM90"/>
  <c r="CL90"/>
  <c r="CK90"/>
  <c r="CJ90"/>
  <c r="CI90"/>
  <c r="CH90"/>
  <c r="CG90"/>
  <c r="CA90"/>
  <c r="CR89"/>
  <c r="CP89"/>
  <c r="CO89"/>
  <c r="CN89"/>
  <c r="CM89"/>
  <c r="CL89"/>
  <c r="CK89"/>
  <c r="CJ89"/>
  <c r="CI89"/>
  <c r="CH89"/>
  <c r="CG89"/>
  <c r="CA89"/>
  <c r="CR88"/>
  <c r="CP88"/>
  <c r="CO88"/>
  <c r="CN88"/>
  <c r="CM88"/>
  <c r="CL88"/>
  <c r="CK88"/>
  <c r="CJ88"/>
  <c r="CI88"/>
  <c r="CH88"/>
  <c r="CG88"/>
  <c r="CA88"/>
  <c r="CR87"/>
  <c r="CP87"/>
  <c r="CO87"/>
  <c r="CN87"/>
  <c r="CM87"/>
  <c r="CL87"/>
  <c r="CK87"/>
  <c r="CJ87"/>
  <c r="CI87"/>
  <c r="CH87"/>
  <c r="CG87"/>
  <c r="CA87"/>
  <c r="CR86"/>
  <c r="CP86"/>
  <c r="CO86"/>
  <c r="CN86"/>
  <c r="CM86"/>
  <c r="CL86"/>
  <c r="CK86"/>
  <c r="CJ86"/>
  <c r="CI86"/>
  <c r="CH86"/>
  <c r="CG86"/>
  <c r="CA86"/>
  <c r="CR85"/>
  <c r="CP85"/>
  <c r="CO85"/>
  <c r="CN85"/>
  <c r="CM85"/>
  <c r="CL85"/>
  <c r="CK85"/>
  <c r="CJ85"/>
  <c r="CI85"/>
  <c r="CH85"/>
  <c r="CG85"/>
  <c r="CA85"/>
  <c r="CR84"/>
  <c r="CP84"/>
  <c r="CO84"/>
  <c r="CN84"/>
  <c r="CM84"/>
  <c r="CL84"/>
  <c r="CK84"/>
  <c r="CJ84"/>
  <c r="CI84"/>
  <c r="CH84"/>
  <c r="CG84"/>
  <c r="CA84"/>
  <c r="CR83"/>
  <c r="CP83"/>
  <c r="CO83"/>
  <c r="CN83"/>
  <c r="CM83"/>
  <c r="CL83"/>
  <c r="CK83"/>
  <c r="CJ83"/>
  <c r="CI83"/>
  <c r="CH83"/>
  <c r="CG83"/>
  <c r="CA83"/>
  <c r="CR82"/>
  <c r="CP82"/>
  <c r="CO82"/>
  <c r="CN82"/>
  <c r="CM82"/>
  <c r="CL82"/>
  <c r="CK82"/>
  <c r="CJ82"/>
  <c r="CI82"/>
  <c r="CH82"/>
  <c r="CG82"/>
  <c r="CA82"/>
  <c r="CR81"/>
  <c r="CP81"/>
  <c r="CO81"/>
  <c r="CN81"/>
  <c r="CM81"/>
  <c r="CL81"/>
  <c r="CK81"/>
  <c r="CJ81"/>
  <c r="CI81"/>
  <c r="CH81"/>
  <c r="CG81"/>
  <c r="CA81"/>
  <c r="CR80"/>
  <c r="CP80"/>
  <c r="CO80"/>
  <c r="CN80"/>
  <c r="CM80"/>
  <c r="CL80"/>
  <c r="CK80"/>
  <c r="CJ80"/>
  <c r="CI80"/>
  <c r="CH80"/>
  <c r="CG80"/>
  <c r="CA80"/>
  <c r="CR79"/>
  <c r="CP79"/>
  <c r="CO79"/>
  <c r="CN79"/>
  <c r="CM79"/>
  <c r="CL79"/>
  <c r="CK79"/>
  <c r="CJ79"/>
  <c r="CI79"/>
  <c r="CH79"/>
  <c r="CG79"/>
  <c r="CA79"/>
  <c r="CR78"/>
  <c r="CP78"/>
  <c r="CO78"/>
  <c r="CN78"/>
  <c r="CM78"/>
  <c r="CL78"/>
  <c r="CK78"/>
  <c r="CJ78"/>
  <c r="CI78"/>
  <c r="CH78"/>
  <c r="CG78"/>
  <c r="CA78"/>
  <c r="CR77"/>
  <c r="CP77"/>
  <c r="CO77"/>
  <c r="CN77"/>
  <c r="CM77"/>
  <c r="CL77"/>
  <c r="CK77"/>
  <c r="CJ77"/>
  <c r="CI77"/>
  <c r="CH77"/>
  <c r="CG77"/>
  <c r="CA77"/>
  <c r="CR76"/>
  <c r="CP76"/>
  <c r="CO76"/>
  <c r="CN76"/>
  <c r="CM76"/>
  <c r="CL76"/>
  <c r="CK76"/>
  <c r="CJ76"/>
  <c r="CI76"/>
  <c r="CH76"/>
  <c r="CG76"/>
  <c r="CA76"/>
  <c r="CR75"/>
  <c r="CP75"/>
  <c r="CO75"/>
  <c r="CN75"/>
  <c r="CM75"/>
  <c r="CL75"/>
  <c r="CK75"/>
  <c r="CJ75"/>
  <c r="CI75"/>
  <c r="CH75"/>
  <c r="CG75"/>
  <c r="CA75"/>
  <c r="CR74"/>
  <c r="CP74"/>
  <c r="CO74"/>
  <c r="CN74"/>
  <c r="CM74"/>
  <c r="CL74"/>
  <c r="CK74"/>
  <c r="CJ74"/>
  <c r="CI74"/>
  <c r="CH74"/>
  <c r="CG74"/>
  <c r="CA74"/>
  <c r="CR73"/>
  <c r="CP73"/>
  <c r="CO73"/>
  <c r="CN73"/>
  <c r="CM73"/>
  <c r="CL73"/>
  <c r="CK73"/>
  <c r="CJ73"/>
  <c r="CI73"/>
  <c r="CH73"/>
  <c r="CG73"/>
  <c r="CA73"/>
  <c r="CR72"/>
  <c r="CP72"/>
  <c r="CO72"/>
  <c r="CN72"/>
  <c r="CM72"/>
  <c r="CL72"/>
  <c r="CK72"/>
  <c r="CJ72"/>
  <c r="CI72"/>
  <c r="CH72"/>
  <c r="CG72"/>
  <c r="CA72"/>
  <c r="CR71"/>
  <c r="CP71"/>
  <c r="CO71"/>
  <c r="CN71"/>
  <c r="CM71"/>
  <c r="CL71"/>
  <c r="CK71"/>
  <c r="CJ71"/>
  <c r="CI71"/>
  <c r="CH71"/>
  <c r="CG71"/>
  <c r="CA71"/>
  <c r="CR70"/>
  <c r="CP70"/>
  <c r="CO70"/>
  <c r="CN70"/>
  <c r="CM70"/>
  <c r="CL70"/>
  <c r="CK70"/>
  <c r="CJ70"/>
  <c r="CI70"/>
  <c r="CH70"/>
  <c r="CG70"/>
  <c r="CA70"/>
  <c r="CR69"/>
  <c r="CP69"/>
  <c r="CO69"/>
  <c r="CN69"/>
  <c r="CM69"/>
  <c r="CL69"/>
  <c r="CK69"/>
  <c r="CJ69"/>
  <c r="CI69"/>
  <c r="CH69"/>
  <c r="CG69"/>
  <c r="CA69"/>
  <c r="CR68"/>
  <c r="CP68"/>
  <c r="CO68"/>
  <c r="CN68"/>
  <c r="CM68"/>
  <c r="CL68"/>
  <c r="CK68"/>
  <c r="CJ68"/>
  <c r="CI68"/>
  <c r="CH68"/>
  <c r="CG68"/>
  <c r="CA68"/>
  <c r="CR67"/>
  <c r="CP67"/>
  <c r="CO67"/>
  <c r="CN67"/>
  <c r="CM67"/>
  <c r="CL67"/>
  <c r="CK67"/>
  <c r="CJ67"/>
  <c r="CI67"/>
  <c r="CH67"/>
  <c r="CG67"/>
  <c r="CA67"/>
  <c r="CR66"/>
  <c r="CP66"/>
  <c r="CO66"/>
  <c r="CN66"/>
  <c r="CM66"/>
  <c r="CL66"/>
  <c r="CK66"/>
  <c r="CJ66"/>
  <c r="CI66"/>
  <c r="CH66"/>
  <c r="CG66"/>
  <c r="CA66"/>
  <c r="CR65"/>
  <c r="CP65"/>
  <c r="CO65"/>
  <c r="CN65"/>
  <c r="CM65"/>
  <c r="CL65"/>
  <c r="CK65"/>
  <c r="CJ65"/>
  <c r="CI65"/>
  <c r="CH65"/>
  <c r="CG65"/>
  <c r="CA65"/>
  <c r="CR64"/>
  <c r="CP64"/>
  <c r="CO64"/>
  <c r="CN64"/>
  <c r="CM64"/>
  <c r="CL64"/>
  <c r="CK64"/>
  <c r="CJ64"/>
  <c r="CI64"/>
  <c r="CH64"/>
  <c r="CG64"/>
  <c r="CA64"/>
  <c r="CR63"/>
  <c r="CP63"/>
  <c r="CO63"/>
  <c r="CN63"/>
  <c r="CM63"/>
  <c r="CL63"/>
  <c r="CK63"/>
  <c r="CJ63"/>
  <c r="CI63"/>
  <c r="CH63"/>
  <c r="CG63"/>
  <c r="CA63"/>
  <c r="CR62"/>
  <c r="CP62"/>
  <c r="CO62"/>
  <c r="CN62"/>
  <c r="CM62"/>
  <c r="CL62"/>
  <c r="CK62"/>
  <c r="CJ62"/>
  <c r="CI62"/>
  <c r="CH62"/>
  <c r="CG62"/>
  <c r="CA62"/>
  <c r="CR61"/>
  <c r="CP61"/>
  <c r="CO61"/>
  <c r="CN61"/>
  <c r="CM61"/>
  <c r="CL61"/>
  <c r="CK61"/>
  <c r="CJ61"/>
  <c r="CI61"/>
  <c r="CH61"/>
  <c r="CG61"/>
  <c r="CA61"/>
  <c r="CR60"/>
  <c r="CP60"/>
  <c r="CO60"/>
  <c r="CN60"/>
  <c r="CM60"/>
  <c r="CL60"/>
  <c r="CK60"/>
  <c r="CJ60"/>
  <c r="CI60"/>
  <c r="CH60"/>
  <c r="CG60"/>
  <c r="CA60"/>
  <c r="CR59"/>
  <c r="CP59"/>
  <c r="CO59"/>
  <c r="CN59"/>
  <c r="CM59"/>
  <c r="CL59"/>
  <c r="CK59"/>
  <c r="CJ59"/>
  <c r="CI59"/>
  <c r="CH59"/>
  <c r="CG59"/>
  <c r="CA59"/>
  <c r="CR58"/>
  <c r="CP58"/>
  <c r="CO58"/>
  <c r="CN58"/>
  <c r="CM58"/>
  <c r="CL58"/>
  <c r="CK58"/>
  <c r="CJ58"/>
  <c r="CI58"/>
  <c r="CH58"/>
  <c r="CG58"/>
  <c r="CA58"/>
  <c r="CR57"/>
  <c r="CP57"/>
  <c r="CO57"/>
  <c r="CN57"/>
  <c r="CM57"/>
  <c r="CL57"/>
  <c r="CK57"/>
  <c r="CJ57"/>
  <c r="CI57"/>
  <c r="CH57"/>
  <c r="CG57"/>
  <c r="CA57"/>
  <c r="CR56"/>
  <c r="CP56"/>
  <c r="CO56"/>
  <c r="CN56"/>
  <c r="CM56"/>
  <c r="CL56"/>
  <c r="CK56"/>
  <c r="CJ56"/>
  <c r="CI56"/>
  <c r="CH56"/>
  <c r="CG56"/>
  <c r="CA56"/>
  <c r="CR55"/>
  <c r="CP55"/>
  <c r="CO55"/>
  <c r="CN55"/>
  <c r="CM55"/>
  <c r="CL55"/>
  <c r="CK55"/>
  <c r="CJ55"/>
  <c r="CI55"/>
  <c r="CH55"/>
  <c r="CG55"/>
  <c r="CA55"/>
  <c r="CR54"/>
  <c r="CP54"/>
  <c r="CO54"/>
  <c r="CN54"/>
  <c r="CM54"/>
  <c r="CL54"/>
  <c r="CK54"/>
  <c r="CJ54"/>
  <c r="CI54"/>
  <c r="CH54"/>
  <c r="CG54"/>
  <c r="CA54"/>
  <c r="CR53"/>
  <c r="CP53"/>
  <c r="CO53"/>
  <c r="CN53"/>
  <c r="CM53"/>
  <c r="CL53"/>
  <c r="CK53"/>
  <c r="CJ53"/>
  <c r="CI53"/>
  <c r="CH53"/>
  <c r="CG53"/>
  <c r="CA53"/>
  <c r="CR52"/>
  <c r="CP52"/>
  <c r="CO52"/>
  <c r="CN52"/>
  <c r="CM52"/>
  <c r="CL52"/>
  <c r="CK52"/>
  <c r="CJ52"/>
  <c r="CI52"/>
  <c r="CH52"/>
  <c r="CG52"/>
  <c r="CA52"/>
  <c r="CR51"/>
  <c r="CP51"/>
  <c r="CO51"/>
  <c r="CN51"/>
  <c r="CM51"/>
  <c r="CL51"/>
  <c r="CK51"/>
  <c r="CJ51"/>
  <c r="CI51"/>
  <c r="CH51"/>
  <c r="CG51"/>
  <c r="CA51"/>
  <c r="CR50"/>
  <c r="CP50"/>
  <c r="CO50"/>
  <c r="CN50"/>
  <c r="CM50"/>
  <c r="CL50"/>
  <c r="CK50"/>
  <c r="CJ50"/>
  <c r="CI50"/>
  <c r="CH50"/>
  <c r="CG50"/>
  <c r="CA50"/>
  <c r="CR49"/>
  <c r="CP49"/>
  <c r="CO49"/>
  <c r="CN49"/>
  <c r="CM49"/>
  <c r="CL49"/>
  <c r="CK49"/>
  <c r="CJ49"/>
  <c r="CI49"/>
  <c r="CH49"/>
  <c r="CG49"/>
  <c r="CA49"/>
  <c r="CR48"/>
  <c r="CP48"/>
  <c r="CO48"/>
  <c r="CN48"/>
  <c r="CM48"/>
  <c r="CL48"/>
  <c r="CK48"/>
  <c r="CJ48"/>
  <c r="CI48"/>
  <c r="CH48"/>
  <c r="CG48"/>
  <c r="CA48"/>
  <c r="CR47"/>
  <c r="CP47"/>
  <c r="CO47"/>
  <c r="CN47"/>
  <c r="CM47"/>
  <c r="CL47"/>
  <c r="CK47"/>
  <c r="CJ47"/>
  <c r="CI47"/>
  <c r="CH47"/>
  <c r="CG47"/>
  <c r="CA47"/>
  <c r="CR46"/>
  <c r="CP46"/>
  <c r="CO46"/>
  <c r="CN46"/>
  <c r="CM46"/>
  <c r="CL46"/>
  <c r="CK46"/>
  <c r="CJ46"/>
  <c r="CI46"/>
  <c r="CH46"/>
  <c r="CG46"/>
  <c r="CA46"/>
  <c r="CR45"/>
  <c r="CP45"/>
  <c r="CO45"/>
  <c r="CN45"/>
  <c r="CM45"/>
  <c r="CL45"/>
  <c r="CK45"/>
  <c r="CJ45"/>
  <c r="CI45"/>
  <c r="CH45"/>
  <c r="CG45"/>
  <c r="CA45"/>
  <c r="CR44"/>
  <c r="CP44"/>
  <c r="CO44"/>
  <c r="CN44"/>
  <c r="CM44"/>
  <c r="CL44"/>
  <c r="CK44"/>
  <c r="CJ44"/>
  <c r="CI44"/>
  <c r="CH44"/>
  <c r="CG44"/>
  <c r="CA44"/>
  <c r="CR43"/>
  <c r="CP43"/>
  <c r="CO43"/>
  <c r="CN43"/>
  <c r="CM43"/>
  <c r="CL43"/>
  <c r="CK43"/>
  <c r="CJ43"/>
  <c r="CI43"/>
  <c r="CH43"/>
  <c r="CG43"/>
  <c r="CA43"/>
  <c r="CR42"/>
  <c r="CP42"/>
  <c r="CO42"/>
  <c r="CN42"/>
  <c r="CM42"/>
  <c r="CL42"/>
  <c r="CK42"/>
  <c r="CJ42"/>
  <c r="CI42"/>
  <c r="CH42"/>
  <c r="CG42"/>
  <c r="CA42"/>
  <c r="CR41"/>
  <c r="CP41"/>
  <c r="CO41"/>
  <c r="CN41"/>
  <c r="CM41"/>
  <c r="CL41"/>
  <c r="CK41"/>
  <c r="CJ41"/>
  <c r="CI41"/>
  <c r="CH41"/>
  <c r="CG41"/>
  <c r="CA41"/>
  <c r="CR40"/>
  <c r="CP40"/>
  <c r="CO40"/>
  <c r="CN40"/>
  <c r="CM40"/>
  <c r="CL40"/>
  <c r="CK40"/>
  <c r="CJ40"/>
  <c r="CI40"/>
  <c r="CH40"/>
  <c r="CG40"/>
  <c r="CA40"/>
  <c r="CR39"/>
  <c r="CP39"/>
  <c r="CO39"/>
  <c r="CN39"/>
  <c r="CM39"/>
  <c r="CL39"/>
  <c r="CK39"/>
  <c r="CJ39"/>
  <c r="CI39"/>
  <c r="CH39"/>
  <c r="CG39"/>
  <c r="CA39"/>
  <c r="CR38"/>
  <c r="CP38"/>
  <c r="CO38"/>
  <c r="CN38"/>
  <c r="CM38"/>
  <c r="CL38"/>
  <c r="CK38"/>
  <c r="CJ38"/>
  <c r="CI38"/>
  <c r="CH38"/>
  <c r="CG38"/>
  <c r="CA38"/>
  <c r="CP37"/>
  <c r="CO37"/>
  <c r="CN37"/>
  <c r="CM37"/>
  <c r="CL37"/>
  <c r="CK37"/>
  <c r="CJ37"/>
  <c r="CI37"/>
  <c r="CH37"/>
  <c r="CG37"/>
  <c r="CA37"/>
  <c r="CP36"/>
  <c r="CO36"/>
  <c r="CN36"/>
  <c r="CM36"/>
  <c r="CL36"/>
  <c r="CK36"/>
  <c r="CJ36"/>
  <c r="CI36"/>
  <c r="CH36"/>
  <c r="CG36"/>
  <c r="CA36"/>
  <c r="CP35"/>
  <c r="CO35"/>
  <c r="CN35"/>
  <c r="CM35"/>
  <c r="CL35"/>
  <c r="CK35"/>
  <c r="CJ35"/>
  <c r="CI35"/>
  <c r="CH35"/>
  <c r="CG35"/>
  <c r="CA35"/>
  <c r="CP34"/>
  <c r="CO34"/>
  <c r="CN34"/>
  <c r="CM34"/>
  <c r="CL34"/>
  <c r="CK34"/>
  <c r="CJ34"/>
  <c r="CI34"/>
  <c r="CH34"/>
  <c r="CG34"/>
  <c r="CA34"/>
  <c r="CP33"/>
  <c r="CO33"/>
  <c r="CN33"/>
  <c r="CM33"/>
  <c r="CL33"/>
  <c r="CK33"/>
  <c r="CJ33"/>
  <c r="CI33"/>
  <c r="CH33"/>
  <c r="CG33"/>
  <c r="CA33"/>
  <c r="CP32"/>
  <c r="CO32"/>
  <c r="CN32"/>
  <c r="CM32"/>
  <c r="CL32"/>
  <c r="CK32"/>
  <c r="CJ32"/>
  <c r="CI32"/>
  <c r="CH32"/>
  <c r="CG32"/>
  <c r="CA32"/>
  <c r="CP31"/>
  <c r="CO31"/>
  <c r="CN31"/>
  <c r="CM31"/>
  <c r="CL31"/>
  <c r="CK31"/>
  <c r="CJ31"/>
  <c r="CI31"/>
  <c r="CH31"/>
  <c r="CG31"/>
  <c r="CA31"/>
  <c r="CP30"/>
  <c r="CO30"/>
  <c r="CN30"/>
  <c r="CM30"/>
  <c r="CL30"/>
  <c r="CK30"/>
  <c r="CJ30"/>
  <c r="CI30"/>
  <c r="CH30"/>
  <c r="CG30"/>
  <c r="CA30"/>
  <c r="CP29"/>
  <c r="CO29"/>
  <c r="CN29"/>
  <c r="CM29"/>
  <c r="CL29"/>
  <c r="CK29"/>
  <c r="CJ29"/>
  <c r="CI29"/>
  <c r="CH29"/>
  <c r="CG29"/>
  <c r="CA29"/>
  <c r="CP28"/>
  <c r="CO28"/>
  <c r="CN28"/>
  <c r="CM28"/>
  <c r="CL28"/>
  <c r="CK28"/>
  <c r="CJ28"/>
  <c r="CI28"/>
  <c r="CH28"/>
  <c r="CG28"/>
  <c r="CA28"/>
  <c r="CP27"/>
  <c r="CO27"/>
  <c r="CN27"/>
  <c r="CM27"/>
  <c r="CL27"/>
  <c r="CK27"/>
  <c r="CJ27"/>
  <c r="CI27"/>
  <c r="CH27"/>
  <c r="CG27"/>
  <c r="CA27"/>
  <c r="CP26"/>
  <c r="CO26"/>
  <c r="CN26"/>
  <c r="CM26"/>
  <c r="CL26"/>
  <c r="CK26"/>
  <c r="CJ26"/>
  <c r="CI26"/>
  <c r="CH26"/>
  <c r="CG26"/>
  <c r="CA26"/>
  <c r="CP25"/>
  <c r="CO25"/>
  <c r="CN25"/>
  <c r="CM25"/>
  <c r="CL25"/>
  <c r="CK25"/>
  <c r="CJ25"/>
  <c r="CI25"/>
  <c r="CH25"/>
  <c r="CG25"/>
  <c r="CA25"/>
  <c r="CP24"/>
  <c r="CO24"/>
  <c r="CN24"/>
  <c r="CM24"/>
  <c r="CL24"/>
  <c r="CK24"/>
  <c r="CJ24"/>
  <c r="CI24"/>
  <c r="CH24"/>
  <c r="CG24"/>
  <c r="CA24"/>
  <c r="CP23"/>
  <c r="CO23"/>
  <c r="CN23"/>
  <c r="CM23"/>
  <c r="CL23"/>
  <c r="CK23"/>
  <c r="CJ23"/>
  <c r="CI23"/>
  <c r="CH23"/>
  <c r="CG23"/>
  <c r="CA23"/>
  <c r="CP22"/>
  <c r="CO22"/>
  <c r="CN22"/>
  <c r="CM22"/>
  <c r="CL22"/>
  <c r="CK22"/>
  <c r="CJ22"/>
  <c r="CI22"/>
  <c r="CH22"/>
  <c r="CG22"/>
  <c r="CA22"/>
  <c r="CP21"/>
  <c r="CO21"/>
  <c r="CN21"/>
  <c r="CM21"/>
  <c r="CL21"/>
  <c r="CK21"/>
  <c r="CJ21"/>
  <c r="CI21"/>
  <c r="CH21"/>
  <c r="CG21"/>
  <c r="CA21"/>
  <c r="CP20"/>
  <c r="CO20"/>
  <c r="CN20"/>
  <c r="CM20"/>
  <c r="CL20"/>
  <c r="CK20"/>
  <c r="CJ20"/>
  <c r="CI20"/>
  <c r="CH20"/>
  <c r="CG20"/>
  <c r="CA20"/>
  <c r="CP19"/>
  <c r="CO19"/>
  <c r="CN19"/>
  <c r="CM19"/>
  <c r="CL19"/>
  <c r="CK19"/>
  <c r="CJ19"/>
  <c r="CI19"/>
  <c r="CH19"/>
  <c r="CG19"/>
  <c r="CA19"/>
  <c r="CP10"/>
  <c r="CO10"/>
  <c r="CN10"/>
  <c r="CM10"/>
  <c r="CL10"/>
  <c r="CK10"/>
  <c r="CJ10"/>
  <c r="CI10"/>
  <c r="CH10"/>
  <c r="CG10"/>
  <c r="CA10"/>
  <c r="CP18"/>
  <c r="CO18"/>
  <c r="CN18"/>
  <c r="CM18"/>
  <c r="CL18"/>
  <c r="CK18"/>
  <c r="CJ18"/>
  <c r="CI18"/>
  <c r="CH18"/>
  <c r="CG18"/>
  <c r="CA18"/>
  <c r="CP16"/>
  <c r="CO16"/>
  <c r="CN16"/>
  <c r="CM16"/>
  <c r="CL16"/>
  <c r="CK16"/>
  <c r="CJ16"/>
  <c r="CI16"/>
  <c r="CH16"/>
  <c r="CG16"/>
  <c r="CA16"/>
  <c r="CP14"/>
  <c r="CO14"/>
  <c r="CN14"/>
  <c r="CM14"/>
  <c r="CL14"/>
  <c r="CK14"/>
  <c r="CJ14"/>
  <c r="CI14"/>
  <c r="CH14"/>
  <c r="CG14"/>
  <c r="CA14"/>
  <c r="CP17"/>
  <c r="CO17"/>
  <c r="CN17"/>
  <c r="CM17"/>
  <c r="CL17"/>
  <c r="CK17"/>
  <c r="CJ17"/>
  <c r="CI17"/>
  <c r="CH17"/>
  <c r="CG17"/>
  <c r="CA17"/>
  <c r="CP11"/>
  <c r="CO11"/>
  <c r="CN11"/>
  <c r="CM11"/>
  <c r="CL11"/>
  <c r="CK11"/>
  <c r="CJ11"/>
  <c r="CI11"/>
  <c r="CH11"/>
  <c r="CG11"/>
  <c r="CA11"/>
  <c r="CP15"/>
  <c r="CO15"/>
  <c r="CN15"/>
  <c r="CM15"/>
  <c r="CL15"/>
  <c r="CK15"/>
  <c r="CJ15"/>
  <c r="CI15"/>
  <c r="CH15"/>
  <c r="CG15"/>
  <c r="CA15"/>
  <c r="CP12"/>
  <c r="CO12"/>
  <c r="CN12"/>
  <c r="CM12"/>
  <c r="CL12"/>
  <c r="CK12"/>
  <c r="CJ12"/>
  <c r="CI12"/>
  <c r="CH12"/>
  <c r="CG12"/>
  <c r="CA12"/>
  <c r="CP13"/>
  <c r="CO13"/>
  <c r="CN13"/>
  <c r="CM13"/>
  <c r="CL13"/>
  <c r="CK13"/>
  <c r="CJ13"/>
  <c r="CI13"/>
  <c r="CH13"/>
  <c r="CG13"/>
  <c r="CA13"/>
  <c r="B12" i="32" l="1" a="1"/>
  <c r="B12" s="1"/>
  <c r="B14" i="44" a="1"/>
  <c r="B14" s="1"/>
  <c r="J14" i="51" a="1"/>
  <c r="J14" s="1"/>
  <c r="J16" a="1"/>
  <c r="J16" s="1"/>
  <c r="J70" a="1"/>
  <c r="J70" s="1"/>
  <c r="B71" a="1"/>
  <c r="B71" s="1"/>
  <c r="B17" a="1"/>
  <c r="B17" s="1"/>
  <c r="B72" i="48" a="1"/>
  <c r="B72" s="1"/>
  <c r="B19" a="1"/>
  <c r="B19" s="1"/>
  <c r="J19" i="51" a="1"/>
  <c r="J19" s="1"/>
  <c r="J73" a="1"/>
  <c r="J73" s="1"/>
  <c r="B74" a="1"/>
  <c r="B74" s="1"/>
  <c r="B20" a="1"/>
  <c r="B20" s="1"/>
  <c r="B75" i="48" a="1"/>
  <c r="B75" s="1"/>
  <c r="B22" a="1"/>
  <c r="B22" s="1"/>
  <c r="J21" i="51" a="1"/>
  <c r="J21" s="1"/>
  <c r="J75" a="1"/>
  <c r="J75" s="1"/>
  <c r="B76" a="1"/>
  <c r="B76" s="1"/>
  <c r="B22" a="1"/>
  <c r="B22" s="1"/>
  <c r="B77" i="48" a="1"/>
  <c r="B77" s="1"/>
  <c r="B24" a="1"/>
  <c r="B24" s="1"/>
  <c r="J23" i="51" a="1"/>
  <c r="J23" s="1"/>
  <c r="J77" a="1"/>
  <c r="J77" s="1"/>
  <c r="B78" a="1"/>
  <c r="B78" s="1"/>
  <c r="B24" a="1"/>
  <c r="B24" s="1"/>
  <c r="B79" i="48" a="1"/>
  <c r="B79" s="1"/>
  <c r="B26" a="1"/>
  <c r="B26" s="1"/>
  <c r="J25" i="51" a="1"/>
  <c r="J25" s="1"/>
  <c r="J79" a="1"/>
  <c r="J79" s="1"/>
  <c r="B80" a="1"/>
  <c r="B80" s="1"/>
  <c r="B26" a="1"/>
  <c r="B26" s="1"/>
  <c r="B81" i="48" a="1"/>
  <c r="B81" s="1"/>
  <c r="B28" a="1"/>
  <c r="B28" s="1"/>
  <c r="J27" i="51" a="1"/>
  <c r="J27" s="1"/>
  <c r="J81" a="1"/>
  <c r="J81" s="1"/>
  <c r="B28" a="1"/>
  <c r="B28" s="1"/>
  <c r="B30" i="48" a="1"/>
  <c r="B30" s="1"/>
  <c r="J29" i="51" a="1"/>
  <c r="J29" s="1"/>
  <c r="B30" a="1"/>
  <c r="B30" s="1"/>
  <c r="B32" i="48" a="1"/>
  <c r="B32" s="1"/>
  <c r="J31" i="51" a="1"/>
  <c r="J31" s="1"/>
  <c r="B32" a="1"/>
  <c r="B32" s="1"/>
  <c r="B34" i="48" a="1"/>
  <c r="B34" s="1"/>
  <c r="J33" i="51" a="1"/>
  <c r="J33" s="1"/>
  <c r="B34" a="1"/>
  <c r="B34" s="1"/>
  <c r="B36" i="48" a="1"/>
  <c r="B36" s="1"/>
  <c r="J35" i="51" a="1"/>
  <c r="J35" s="1"/>
  <c r="B69" a="1"/>
  <c r="B69" s="1"/>
  <c r="B15" a="1"/>
  <c r="B15" s="1"/>
  <c r="B70" i="48" a="1"/>
  <c r="B70" s="1"/>
  <c r="B17" a="1"/>
  <c r="B17" s="1"/>
  <c r="J68" i="51" a="1"/>
  <c r="J68" s="1"/>
  <c r="B67" a="1"/>
  <c r="B67" s="1"/>
  <c r="B68" i="48" a="1"/>
  <c r="B68" s="1"/>
  <c r="B72" i="51" a="1"/>
  <c r="B72" s="1"/>
  <c r="B18" a="1"/>
  <c r="B18" s="1"/>
  <c r="B73" i="48" a="1"/>
  <c r="B73" s="1"/>
  <c r="B20" a="1"/>
  <c r="B20" s="1"/>
  <c r="J15" i="51" a="1"/>
  <c r="J15" s="1"/>
  <c r="J69" a="1"/>
  <c r="J69" s="1"/>
  <c r="B68" a="1"/>
  <c r="B68" s="1"/>
  <c r="B14" a="1"/>
  <c r="B14" s="1"/>
  <c r="B69" i="48" a="1"/>
  <c r="B69" s="1"/>
  <c r="B16" a="1"/>
  <c r="B16" s="1"/>
  <c r="J67" i="51" a="1"/>
  <c r="J67" s="1"/>
  <c r="J18" a="1"/>
  <c r="J18" s="1"/>
  <c r="J72" a="1"/>
  <c r="J72" s="1"/>
  <c r="B70" a="1"/>
  <c r="B70" s="1"/>
  <c r="B16" a="1"/>
  <c r="B16" s="1"/>
  <c r="B71" i="48" a="1"/>
  <c r="B71" s="1"/>
  <c r="B18" a="1"/>
  <c r="B18" s="1"/>
  <c r="J17" i="51" a="1"/>
  <c r="J17" s="1"/>
  <c r="J71" a="1"/>
  <c r="J71" s="1"/>
  <c r="B73" a="1"/>
  <c r="B73" s="1"/>
  <c r="B19" a="1"/>
  <c r="B19" s="1"/>
  <c r="B74" i="48" a="1"/>
  <c r="B74" s="1"/>
  <c r="B21" a="1"/>
  <c r="B21" s="1"/>
  <c r="J20" i="51" a="1"/>
  <c r="J20" s="1"/>
  <c r="J74" a="1"/>
  <c r="J74" s="1"/>
  <c r="B75" a="1"/>
  <c r="B75" s="1"/>
  <c r="B21" a="1"/>
  <c r="B21" s="1"/>
  <c r="B76" i="48" a="1"/>
  <c r="B76" s="1"/>
  <c r="B23" a="1"/>
  <c r="B23" s="1"/>
  <c r="J22" i="51" a="1"/>
  <c r="J22" s="1"/>
  <c r="J76" a="1"/>
  <c r="J76" s="1"/>
  <c r="B77" a="1"/>
  <c r="B77" s="1"/>
  <c r="B23" a="1"/>
  <c r="B23" s="1"/>
  <c r="B78" i="48" a="1"/>
  <c r="B78" s="1"/>
  <c r="B25" a="1"/>
  <c r="B25" s="1"/>
  <c r="J24" i="51" a="1"/>
  <c r="J24" s="1"/>
  <c r="J78" a="1"/>
  <c r="J78" s="1"/>
  <c r="B79" a="1"/>
  <c r="B79" s="1"/>
  <c r="B25" a="1"/>
  <c r="B25" s="1"/>
  <c r="B80" i="48" a="1"/>
  <c r="B80" s="1"/>
  <c r="B27" a="1"/>
  <c r="B27" s="1"/>
  <c r="J26" i="51" a="1"/>
  <c r="J26" s="1"/>
  <c r="J80" a="1"/>
  <c r="J80" s="1"/>
  <c r="B81" a="1"/>
  <c r="B81" s="1"/>
  <c r="B27" a="1"/>
  <c r="B27" s="1"/>
  <c r="B82" i="48" a="1"/>
  <c r="B82" s="1"/>
  <c r="B29" a="1"/>
  <c r="B29" s="1"/>
  <c r="J28" i="51" a="1"/>
  <c r="J28" s="1"/>
  <c r="B29" a="1"/>
  <c r="B29" s="1"/>
  <c r="B31" i="48" a="1"/>
  <c r="B31" s="1"/>
  <c r="J30" i="51" a="1"/>
  <c r="J30" s="1"/>
  <c r="B31" a="1"/>
  <c r="B31" s="1"/>
  <c r="B33" i="48" a="1"/>
  <c r="B33" s="1"/>
  <c r="J32" i="51" a="1"/>
  <c r="J32" s="1"/>
  <c r="B33" a="1"/>
  <c r="B33" s="1"/>
  <c r="B35" i="48" a="1"/>
  <c r="B35" s="1"/>
  <c r="J34" i="51" a="1"/>
  <c r="J34" s="1"/>
  <c r="B35" a="1"/>
  <c r="B35" s="1"/>
  <c r="B37" i="48" a="1"/>
  <c r="B37" s="1"/>
  <c r="J66" i="51" a="1"/>
  <c r="J66" s="1"/>
  <c r="B66" a="1"/>
  <c r="B66" s="1"/>
  <c r="B67" i="48" a="1"/>
  <c r="B67" s="1"/>
  <c r="B13" i="51" a="1"/>
  <c r="B13" s="1"/>
  <c r="B15" i="48" a="1"/>
  <c r="B15" s="1"/>
  <c r="J12" i="51" a="1"/>
  <c r="J12" s="1"/>
  <c r="J13" a="1"/>
  <c r="J13" s="1"/>
  <c r="B12" a="1"/>
  <c r="B12" s="1"/>
  <c r="B14" i="48" a="1"/>
  <c r="B14" s="1"/>
  <c r="U125" i="33"/>
  <c r="U351"/>
  <c r="U352"/>
  <c r="U353"/>
  <c r="U326" l="1"/>
  <c r="U327"/>
  <c r="U328"/>
  <c r="U329"/>
  <c r="U330"/>
  <c r="U331"/>
  <c r="U332"/>
  <c r="U333"/>
  <c r="U334"/>
  <c r="U335"/>
  <c r="U240" l="1"/>
  <c r="U241"/>
  <c r="U242"/>
  <c r="U243"/>
  <c r="U244"/>
  <c r="U245"/>
  <c r="U246"/>
  <c r="U247"/>
  <c r="U248"/>
  <c r="U249"/>
  <c r="U250"/>
  <c r="U251"/>
  <c r="U252"/>
  <c r="U253"/>
  <c r="U254"/>
  <c r="U255"/>
  <c r="U311" l="1"/>
  <c r="U312"/>
  <c r="U313"/>
  <c r="U314"/>
  <c r="U315"/>
  <c r="U316"/>
  <c r="U317"/>
  <c r="U318"/>
  <c r="U319"/>
  <c r="U320"/>
  <c r="U321"/>
  <c r="U322"/>
  <c r="U323"/>
  <c r="U324"/>
  <c r="U325"/>
  <c r="U160" l="1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04" l="1"/>
  <c r="U105"/>
  <c r="U102"/>
  <c r="U103"/>
  <c r="U94" l="1"/>
  <c r="U95"/>
  <c r="U96"/>
  <c r="U97"/>
  <c r="U98"/>
  <c r="U99"/>
  <c r="U100"/>
  <c r="U101"/>
  <c r="U287" l="1"/>
  <c r="U288"/>
  <c r="U289"/>
  <c r="U290"/>
  <c r="U291"/>
  <c r="U292"/>
  <c r="U293"/>
  <c r="U294"/>
  <c r="U295"/>
  <c r="U296"/>
  <c r="U297"/>
  <c r="U298"/>
  <c r="U299"/>
  <c r="U300"/>
  <c r="U301"/>
  <c r="U302"/>
  <c r="U303"/>
  <c r="U304"/>
  <c r="U305"/>
  <c r="U306"/>
  <c r="U307"/>
  <c r="U308"/>
  <c r="U309"/>
  <c r="U310"/>
  <c r="U336"/>
  <c r="U337"/>
  <c r="U338"/>
  <c r="U346"/>
  <c r="U108" l="1"/>
  <c r="U109"/>
  <c r="U110"/>
  <c r="U111"/>
  <c r="U112"/>
  <c r="U113"/>
  <c r="U114"/>
  <c r="U115"/>
  <c r="U116"/>
  <c r="U117"/>
  <c r="U118"/>
  <c r="U119"/>
  <c r="U120"/>
  <c r="U121"/>
  <c r="U86" l="1"/>
  <c r="U87"/>
  <c r="U88"/>
  <c r="U89"/>
  <c r="U90"/>
  <c r="U91"/>
  <c r="U92"/>
  <c r="U93"/>
  <c r="U85" l="1"/>
  <c r="U30" l="1"/>
  <c r="U31"/>
  <c r="U32"/>
  <c r="U33"/>
  <c r="U34"/>
  <c r="U35"/>
  <c r="U37"/>
  <c r="U38"/>
  <c r="U39"/>
  <c r="U40"/>
  <c r="U41"/>
  <c r="U42"/>
  <c r="U43"/>
  <c r="U44"/>
  <c r="U45"/>
  <c r="U46"/>
  <c r="U22" l="1"/>
  <c r="U23"/>
  <c r="U24"/>
  <c r="U25"/>
  <c r="U26"/>
  <c r="U27"/>
  <c r="U28"/>
  <c r="U29"/>
  <c r="U21" l="1"/>
  <c r="U19" l="1"/>
  <c r="U20"/>
  <c r="U47" l="1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18"/>
  <c r="U10" l="1"/>
  <c r="U11"/>
  <c r="U12"/>
  <c r="U13"/>
  <c r="U14"/>
  <c r="U15"/>
  <c r="U16"/>
  <c r="U17"/>
  <c r="U73" l="1"/>
  <c r="U74"/>
  <c r="U75"/>
  <c r="U76"/>
  <c r="U77"/>
  <c r="U78"/>
  <c r="U79"/>
  <c r="U80"/>
  <c r="U81"/>
  <c r="U82"/>
  <c r="U83"/>
  <c r="U84"/>
  <c r="U2" l="1"/>
  <c r="U3"/>
  <c r="U4"/>
  <c r="U5"/>
  <c r="U6"/>
  <c r="U7"/>
  <c r="U8"/>
  <c r="U9"/>
  <c r="F54" i="44" l="1"/>
  <c r="AP96" i="31" l="1"/>
  <c r="AR96" s="1"/>
  <c r="AP97"/>
  <c r="AR97" s="1"/>
  <c r="AP98"/>
  <c r="AR98" s="1"/>
  <c r="AP99"/>
  <c r="AR99" s="1"/>
  <c r="AP100"/>
  <c r="AR100" s="1"/>
  <c r="AP101"/>
  <c r="AR101" s="1"/>
  <c r="AP102"/>
  <c r="AR102" s="1"/>
  <c r="AP103"/>
  <c r="AR103" s="1"/>
  <c r="AP104"/>
  <c r="AR104" s="1"/>
  <c r="AP105"/>
  <c r="AR105" s="1"/>
  <c r="AP106"/>
  <c r="AR106" s="1"/>
  <c r="AP107"/>
  <c r="AR107" s="1"/>
  <c r="AP108"/>
  <c r="AR108" s="1"/>
  <c r="AP109"/>
  <c r="AR109" s="1"/>
  <c r="AP110"/>
  <c r="AR110" s="1"/>
  <c r="AP111"/>
  <c r="AR111" s="1"/>
  <c r="AP112"/>
  <c r="AR112" s="1"/>
  <c r="AP113"/>
  <c r="AR113" s="1"/>
  <c r="AP114"/>
  <c r="AR114" s="1"/>
  <c r="AP115"/>
  <c r="AR115" s="1"/>
  <c r="AP116"/>
  <c r="AR116" s="1"/>
  <c r="AP117"/>
  <c r="AR117" s="1"/>
  <c r="AP118"/>
  <c r="AR118" s="1"/>
  <c r="AP119"/>
  <c r="AR119" s="1"/>
  <c r="AP120"/>
  <c r="AR120" s="1"/>
  <c r="AP121"/>
  <c r="AR121" s="1"/>
  <c r="AP122"/>
  <c r="AR122" s="1"/>
  <c r="AP123"/>
  <c r="AR123" s="1"/>
  <c r="AP124"/>
  <c r="AR124" s="1"/>
  <c r="AP125"/>
  <c r="AR125" s="1"/>
  <c r="AP126"/>
  <c r="AR126" s="1"/>
  <c r="AP127"/>
  <c r="AR127" s="1"/>
  <c r="AP128"/>
  <c r="AR128" s="1"/>
  <c r="AP129"/>
  <c r="AR129" s="1"/>
  <c r="AP130"/>
  <c r="AR130" s="1"/>
  <c r="AP131"/>
  <c r="AR131" s="1"/>
  <c r="AP132"/>
  <c r="AR132" s="1"/>
  <c r="AP133"/>
  <c r="AR133" s="1"/>
  <c r="AP134"/>
  <c r="AR134" s="1"/>
  <c r="AP135"/>
  <c r="AR135" s="1"/>
  <c r="AP136"/>
  <c r="AR136" s="1"/>
  <c r="AP137"/>
  <c r="AR137" s="1"/>
  <c r="AP138"/>
  <c r="AR138" s="1"/>
  <c r="AP139"/>
  <c r="AR139" s="1"/>
  <c r="AP140"/>
  <c r="AR140" s="1"/>
  <c r="AP141"/>
  <c r="AR141" s="1"/>
  <c r="AP142"/>
  <c r="AR142" s="1"/>
  <c r="AP143"/>
  <c r="AR143" s="1"/>
  <c r="AP144"/>
  <c r="AR144" s="1"/>
  <c r="AP145"/>
  <c r="AR145" s="1"/>
  <c r="AP146"/>
  <c r="AR146" s="1"/>
  <c r="AP147"/>
  <c r="AR147" s="1"/>
  <c r="AP148"/>
  <c r="AR148" s="1"/>
  <c r="AP149"/>
  <c r="AR149" s="1"/>
  <c r="AP150"/>
  <c r="AR150" s="1"/>
  <c r="AP151"/>
  <c r="AR151" s="1"/>
  <c r="AP152"/>
  <c r="AR152" s="1"/>
  <c r="AP153"/>
  <c r="AR153" s="1"/>
  <c r="AP154"/>
  <c r="AR154" s="1"/>
  <c r="AP155"/>
  <c r="AR155" s="1"/>
  <c r="AP156"/>
  <c r="AR156" s="1"/>
  <c r="AP157"/>
  <c r="AR157" s="1"/>
  <c r="AP158"/>
  <c r="AR158" s="1"/>
  <c r="AP159"/>
  <c r="AR159" s="1"/>
  <c r="AP160"/>
  <c r="AR160" s="1"/>
  <c r="AO96"/>
  <c r="AQ96" s="1"/>
  <c r="AO97"/>
  <c r="AQ97" s="1"/>
  <c r="AO98"/>
  <c r="AQ98" s="1"/>
  <c r="AO99"/>
  <c r="AQ99" s="1"/>
  <c r="AO100"/>
  <c r="AQ100" s="1"/>
  <c r="AO101"/>
  <c r="AQ101" s="1"/>
  <c r="AO102"/>
  <c r="AQ102" s="1"/>
  <c r="AO103"/>
  <c r="AQ103" s="1"/>
  <c r="AO104"/>
  <c r="AQ104" s="1"/>
  <c r="AO105"/>
  <c r="AQ105" s="1"/>
  <c r="AO106"/>
  <c r="AQ106" s="1"/>
  <c r="AO107"/>
  <c r="AQ107" s="1"/>
  <c r="AO108"/>
  <c r="AQ108" s="1"/>
  <c r="AO109"/>
  <c r="AQ109" s="1"/>
  <c r="AO110"/>
  <c r="AQ110" s="1"/>
  <c r="AO111"/>
  <c r="AQ111" s="1"/>
  <c r="AO112"/>
  <c r="AQ112" s="1"/>
  <c r="AO113"/>
  <c r="AQ113" s="1"/>
  <c r="AO114"/>
  <c r="AQ114" s="1"/>
  <c r="AO115"/>
  <c r="AQ115" s="1"/>
  <c r="AO116"/>
  <c r="AQ116" s="1"/>
  <c r="AO117"/>
  <c r="AQ117" s="1"/>
  <c r="AO118"/>
  <c r="AQ118" s="1"/>
  <c r="AO119"/>
  <c r="AQ119" s="1"/>
  <c r="AO120"/>
  <c r="AQ120" s="1"/>
  <c r="AO121"/>
  <c r="AQ121" s="1"/>
  <c r="AO122"/>
  <c r="AQ122" s="1"/>
  <c r="AO123"/>
  <c r="AQ123" s="1"/>
  <c r="AO124"/>
  <c r="AQ124" s="1"/>
  <c r="AO125"/>
  <c r="AQ125" s="1"/>
  <c r="AO126"/>
  <c r="AQ126" s="1"/>
  <c r="AO127"/>
  <c r="AQ127" s="1"/>
  <c r="AO128"/>
  <c r="AQ128" s="1"/>
  <c r="AO129"/>
  <c r="AQ129" s="1"/>
  <c r="AO130"/>
  <c r="AQ130" s="1"/>
  <c r="AO131"/>
  <c r="AQ131" s="1"/>
  <c r="AO132"/>
  <c r="AQ132" s="1"/>
  <c r="AO133"/>
  <c r="AQ133" s="1"/>
  <c r="AO134"/>
  <c r="AQ134" s="1"/>
  <c r="AO135"/>
  <c r="AQ135" s="1"/>
  <c r="AO136"/>
  <c r="AQ136" s="1"/>
  <c r="AO137"/>
  <c r="AQ137" s="1"/>
  <c r="AO138"/>
  <c r="AQ138" s="1"/>
  <c r="AO139"/>
  <c r="AQ139" s="1"/>
  <c r="AO140"/>
  <c r="AQ140" s="1"/>
  <c r="AO141"/>
  <c r="AQ141" s="1"/>
  <c r="AO142"/>
  <c r="AQ142" s="1"/>
  <c r="AO143"/>
  <c r="AQ143" s="1"/>
  <c r="AO144"/>
  <c r="AQ144" s="1"/>
  <c r="AO145"/>
  <c r="AQ145" s="1"/>
  <c r="AO146"/>
  <c r="AQ146" s="1"/>
  <c r="AO147"/>
  <c r="AQ147" s="1"/>
  <c r="AO148"/>
  <c r="AQ148" s="1"/>
  <c r="AO149"/>
  <c r="AQ149" s="1"/>
  <c r="AO150"/>
  <c r="AQ150" s="1"/>
  <c r="AO151"/>
  <c r="AQ151" s="1"/>
  <c r="AO152"/>
  <c r="AQ152" s="1"/>
  <c r="AO153"/>
  <c r="AQ153" s="1"/>
  <c r="AO154"/>
  <c r="AQ154" s="1"/>
  <c r="AO155"/>
  <c r="AQ155" s="1"/>
  <c r="AO156"/>
  <c r="AQ156" s="1"/>
  <c r="AO157"/>
  <c r="AQ157" s="1"/>
  <c r="AO158"/>
  <c r="AQ158" s="1"/>
  <c r="AO159"/>
  <c r="AQ159" s="1"/>
  <c r="AO160"/>
  <c r="AQ160" s="1"/>
  <c r="L11" i="37" l="1" a="1"/>
  <c r="L11" s="1"/>
  <c r="L18" l="1" a="1"/>
  <c r="L18" s="1"/>
  <c r="CH110" l="1"/>
  <c r="U259" i="33" l="1"/>
  <c r="U260"/>
  <c r="U261"/>
  <c r="U262"/>
  <c r="U263"/>
  <c r="U264"/>
  <c r="U265"/>
  <c r="U266"/>
  <c r="U267"/>
  <c r="U268"/>
  <c r="U269"/>
  <c r="U270"/>
  <c r="U271"/>
  <c r="U272"/>
  <c r="U273"/>
  <c r="U274"/>
  <c r="U275"/>
  <c r="U276"/>
  <c r="U277"/>
  <c r="U278"/>
  <c r="U279"/>
  <c r="U280"/>
  <c r="U281"/>
  <c r="U282"/>
  <c r="U283"/>
  <c r="U284"/>
  <c r="U285"/>
  <c r="U286"/>
  <c r="EG10" i="37"/>
  <c r="EG11"/>
  <c r="EG12"/>
  <c r="EG13"/>
  <c r="EG14"/>
  <c r="EG15"/>
  <c r="EG16"/>
  <c r="EG17"/>
  <c r="EG18"/>
  <c r="EG19"/>
  <c r="EG20"/>
  <c r="EG21"/>
  <c r="EG22"/>
  <c r="EG23"/>
  <c r="EG24"/>
  <c r="EG25"/>
  <c r="EG26"/>
  <c r="EG27"/>
  <c r="EG28"/>
  <c r="EG29"/>
  <c r="EG30"/>
  <c r="EG31"/>
  <c r="EG32"/>
  <c r="EG33"/>
  <c r="EG34"/>
  <c r="EG35"/>
  <c r="EG36"/>
  <c r="EG37"/>
  <c r="EG38"/>
  <c r="EG39"/>
  <c r="EG40"/>
  <c r="EG41"/>
  <c r="EG42"/>
  <c r="EG43"/>
  <c r="EG44"/>
  <c r="EG45"/>
  <c r="EG46"/>
  <c r="EG47"/>
  <c r="EG48"/>
  <c r="EG49"/>
  <c r="EG50"/>
  <c r="EG51"/>
  <c r="EG52"/>
  <c r="EG53"/>
  <c r="EG54"/>
  <c r="EG55"/>
  <c r="EG56"/>
  <c r="EG57"/>
  <c r="EG58"/>
  <c r="EG59"/>
  <c r="EG60"/>
  <c r="EG61"/>
  <c r="EG62"/>
  <c r="EG63"/>
  <c r="EG64"/>
  <c r="EG65"/>
  <c r="EG66"/>
  <c r="EG67"/>
  <c r="EG68"/>
  <c r="EG69"/>
  <c r="EG70"/>
  <c r="EG71"/>
  <c r="EG72"/>
  <c r="EG73"/>
  <c r="EG74"/>
  <c r="EG75"/>
  <c r="EG76"/>
  <c r="EG77"/>
  <c r="EG78"/>
  <c r="EG79"/>
  <c r="EG80"/>
  <c r="EG81"/>
  <c r="EG82"/>
  <c r="EG83"/>
  <c r="EG84"/>
  <c r="EG85"/>
  <c r="EG86"/>
  <c r="EG87"/>
  <c r="EG88"/>
  <c r="EG89"/>
  <c r="EG90"/>
  <c r="EG91"/>
  <c r="EG92"/>
  <c r="EG93"/>
  <c r="EG94"/>
  <c r="EG95"/>
  <c r="EG96"/>
  <c r="EG97"/>
  <c r="EG98"/>
  <c r="EG99"/>
  <c r="EG100"/>
  <c r="EG101"/>
  <c r="EG102"/>
  <c r="EG103"/>
  <c r="EG104"/>
  <c r="EG105"/>
  <c r="EG106"/>
  <c r="EG107"/>
  <c r="EG108"/>
  <c r="EG109"/>
  <c r="EG110"/>
  <c r="EG111"/>
  <c r="EG112"/>
  <c r="EG113"/>
  <c r="EG114"/>
  <c r="EG115"/>
  <c r="EG116"/>
  <c r="EG117"/>
  <c r="EG118"/>
  <c r="EG119"/>
  <c r="EG120"/>
  <c r="EG121"/>
  <c r="EG122"/>
  <c r="EG123"/>
  <c r="EG124"/>
  <c r="EG125"/>
  <c r="EG126"/>
  <c r="EG127"/>
  <c r="EG128"/>
  <c r="EG129"/>
  <c r="EG130"/>
  <c r="EG131"/>
  <c r="EG132"/>
  <c r="EG133"/>
  <c r="EG134"/>
  <c r="EG135"/>
  <c r="EG136"/>
  <c r="EG137"/>
  <c r="EG138"/>
  <c r="EG139"/>
  <c r="EG140"/>
  <c r="EG141"/>
  <c r="EG142"/>
  <c r="EG143"/>
  <c r="EG144"/>
  <c r="EG145"/>
  <c r="EG146"/>
  <c r="EG147"/>
  <c r="EG148"/>
  <c r="EG149"/>
  <c r="EG150"/>
  <c r="EG151"/>
  <c r="EG152"/>
  <c r="EG153"/>
  <c r="EG154"/>
  <c r="EG155"/>
  <c r="EG156"/>
  <c r="EG157"/>
  <c r="EG158"/>
  <c r="EG159"/>
  <c r="EG160"/>
  <c r="EI10"/>
  <c r="EI11"/>
  <c r="EI12"/>
  <c r="EI13"/>
  <c r="EI14"/>
  <c r="EI15"/>
  <c r="EI16"/>
  <c r="EI17"/>
  <c r="EI18"/>
  <c r="EI19"/>
  <c r="EI20"/>
  <c r="EI21"/>
  <c r="EI22"/>
  <c r="EI23"/>
  <c r="EI24"/>
  <c r="EI25"/>
  <c r="EI26"/>
  <c r="EI27"/>
  <c r="EI28"/>
  <c r="EI29"/>
  <c r="EI30"/>
  <c r="EI31"/>
  <c r="EI32"/>
  <c r="EI33"/>
  <c r="EI34"/>
  <c r="EI35"/>
  <c r="EI36"/>
  <c r="EI37"/>
  <c r="EI38"/>
  <c r="EI39"/>
  <c r="EI40"/>
  <c r="EI41"/>
  <c r="EI42"/>
  <c r="EI43"/>
  <c r="EI44"/>
  <c r="EI45"/>
  <c r="EI46"/>
  <c r="EI47"/>
  <c r="EI48"/>
  <c r="EI49"/>
  <c r="EI50"/>
  <c r="EI51"/>
  <c r="EI52"/>
  <c r="EI53"/>
  <c r="EI54"/>
  <c r="EI55"/>
  <c r="EI56"/>
  <c r="EI57"/>
  <c r="EI58"/>
  <c r="EI59"/>
  <c r="EI60"/>
  <c r="EI61"/>
  <c r="EI62"/>
  <c r="EI63"/>
  <c r="EI64"/>
  <c r="EI65"/>
  <c r="EI66"/>
  <c r="EI67"/>
  <c r="EI68"/>
  <c r="EI69"/>
  <c r="EI70"/>
  <c r="EI71"/>
  <c r="EI72"/>
  <c r="EI73"/>
  <c r="EI74"/>
  <c r="EI75"/>
  <c r="EI76"/>
  <c r="EI77"/>
  <c r="EI78"/>
  <c r="EI79"/>
  <c r="EI80"/>
  <c r="EI81"/>
  <c r="EI82"/>
  <c r="EI83"/>
  <c r="EI84"/>
  <c r="EI85"/>
  <c r="EI86"/>
  <c r="EI87"/>
  <c r="EI88"/>
  <c r="EI89"/>
  <c r="EI90"/>
  <c r="EI91"/>
  <c r="EI92"/>
  <c r="EI93"/>
  <c r="EI94"/>
  <c r="EI95"/>
  <c r="EI96"/>
  <c r="EI97"/>
  <c r="EI98"/>
  <c r="EI99"/>
  <c r="EI100"/>
  <c r="EI101"/>
  <c r="EI102"/>
  <c r="EI103"/>
  <c r="EI104"/>
  <c r="EI105"/>
  <c r="EI106"/>
  <c r="EI107"/>
  <c r="EI108"/>
  <c r="EI109"/>
  <c r="EI110"/>
  <c r="EI111"/>
  <c r="EI112"/>
  <c r="EI113"/>
  <c r="EI114"/>
  <c r="EI115"/>
  <c r="EI116"/>
  <c r="EI117"/>
  <c r="EI118"/>
  <c r="EI119"/>
  <c r="EI120"/>
  <c r="EI121"/>
  <c r="EI122"/>
  <c r="EI123"/>
  <c r="EI124"/>
  <c r="EI125"/>
  <c r="EI126"/>
  <c r="EI127"/>
  <c r="EI128"/>
  <c r="EI129"/>
  <c r="EI130"/>
  <c r="EI131"/>
  <c r="EI132"/>
  <c r="EI133"/>
  <c r="EI134"/>
  <c r="EI135"/>
  <c r="EI136"/>
  <c r="EI137"/>
  <c r="EI138"/>
  <c r="EI139"/>
  <c r="EI140"/>
  <c r="EI141"/>
  <c r="EI142"/>
  <c r="EI143"/>
  <c r="EI144"/>
  <c r="EI145"/>
  <c r="EI146"/>
  <c r="EI147"/>
  <c r="EI148"/>
  <c r="EI149"/>
  <c r="EI150"/>
  <c r="EI151"/>
  <c r="EI152"/>
  <c r="EI153"/>
  <c r="EI154"/>
  <c r="EI155"/>
  <c r="EI156"/>
  <c r="EI157"/>
  <c r="EI158"/>
  <c r="EI159"/>
  <c r="EI160"/>
  <c r="EH10"/>
  <c r="EH11"/>
  <c r="EH12"/>
  <c r="EH13"/>
  <c r="EH14"/>
  <c r="EH15"/>
  <c r="EH16"/>
  <c r="EH17"/>
  <c r="EH18"/>
  <c r="EH19"/>
  <c r="EH20"/>
  <c r="EH21"/>
  <c r="EH22"/>
  <c r="EH23"/>
  <c r="EH24"/>
  <c r="EH25"/>
  <c r="EH26"/>
  <c r="EH27"/>
  <c r="EH28"/>
  <c r="EH29"/>
  <c r="EH30"/>
  <c r="EH31"/>
  <c r="EH32"/>
  <c r="EH33"/>
  <c r="EH34"/>
  <c r="EH35"/>
  <c r="EH36"/>
  <c r="EH37"/>
  <c r="EH38"/>
  <c r="EH39"/>
  <c r="EH40"/>
  <c r="EH41"/>
  <c r="EH42"/>
  <c r="EH43"/>
  <c r="EH44"/>
  <c r="EH45"/>
  <c r="EH46"/>
  <c r="EH47"/>
  <c r="EH48"/>
  <c r="EH49"/>
  <c r="EH50"/>
  <c r="EH51"/>
  <c r="EH52"/>
  <c r="EH53"/>
  <c r="EH54"/>
  <c r="EH55"/>
  <c r="EH56"/>
  <c r="EH57"/>
  <c r="EH58"/>
  <c r="EH59"/>
  <c r="EH60"/>
  <c r="EH61"/>
  <c r="EH62"/>
  <c r="EH63"/>
  <c r="EH64"/>
  <c r="EH65"/>
  <c r="EH66"/>
  <c r="EH67"/>
  <c r="EH68"/>
  <c r="EH69"/>
  <c r="EH70"/>
  <c r="EH71"/>
  <c r="EH72"/>
  <c r="EH73"/>
  <c r="EH74"/>
  <c r="EH75"/>
  <c r="EH76"/>
  <c r="EH77"/>
  <c r="EH78"/>
  <c r="EH79"/>
  <c r="EH80"/>
  <c r="EH81"/>
  <c r="EH82"/>
  <c r="EH83"/>
  <c r="EH84"/>
  <c r="EH85"/>
  <c r="EH86"/>
  <c r="EH87"/>
  <c r="EH88"/>
  <c r="EH89"/>
  <c r="EH90"/>
  <c r="EH91"/>
  <c r="EH92"/>
  <c r="EH93"/>
  <c r="EH94"/>
  <c r="EH95"/>
  <c r="EH96"/>
  <c r="EH97"/>
  <c r="EH98"/>
  <c r="EH99"/>
  <c r="EH100"/>
  <c r="EH101"/>
  <c r="EH102"/>
  <c r="EH103"/>
  <c r="EH104"/>
  <c r="EH105"/>
  <c r="EH106"/>
  <c r="EH107"/>
  <c r="EH108"/>
  <c r="EH109"/>
  <c r="EH110"/>
  <c r="EH111"/>
  <c r="EH112"/>
  <c r="EH113"/>
  <c r="EH114"/>
  <c r="EH115"/>
  <c r="EH116"/>
  <c r="EH117"/>
  <c r="EH118"/>
  <c r="EH119"/>
  <c r="EH120"/>
  <c r="EH121"/>
  <c r="EH122"/>
  <c r="EH123"/>
  <c r="EH124"/>
  <c r="EH125"/>
  <c r="EH126"/>
  <c r="EH127"/>
  <c r="EH128"/>
  <c r="EH129"/>
  <c r="EH130"/>
  <c r="EH131"/>
  <c r="EH132"/>
  <c r="EH133"/>
  <c r="EH134"/>
  <c r="EH135"/>
  <c r="EH136"/>
  <c r="EH137"/>
  <c r="EH138"/>
  <c r="EH139"/>
  <c r="EH140"/>
  <c r="EH141"/>
  <c r="EH142"/>
  <c r="EH143"/>
  <c r="EH144"/>
  <c r="EH145"/>
  <c r="EH146"/>
  <c r="EH147"/>
  <c r="EH148"/>
  <c r="EH149"/>
  <c r="EH150"/>
  <c r="EH151"/>
  <c r="EH152"/>
  <c r="EH153"/>
  <c r="EH154"/>
  <c r="EH155"/>
  <c r="EH156"/>
  <c r="EH157"/>
  <c r="EH158"/>
  <c r="EH159"/>
  <c r="EH160"/>
  <c r="U106" i="33"/>
  <c r="U107"/>
  <c r="U347"/>
  <c r="U348"/>
  <c r="U349"/>
  <c r="U350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78"/>
  <c r="U179"/>
  <c r="U180"/>
  <c r="U181"/>
  <c r="U182"/>
  <c r="U183"/>
  <c r="U184"/>
  <c r="U185"/>
  <c r="U186"/>
  <c r="U187"/>
  <c r="U188"/>
  <c r="U189"/>
  <c r="U190"/>
  <c r="U191"/>
  <c r="U192"/>
  <c r="U339"/>
  <c r="U340"/>
  <c r="U341"/>
  <c r="U342"/>
  <c r="U343"/>
  <c r="U344"/>
  <c r="U345"/>
  <c r="U193"/>
  <c r="U202"/>
  <c r="U203"/>
  <c r="U204"/>
  <c r="U205"/>
  <c r="U206"/>
  <c r="U122"/>
  <c r="U123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26"/>
  <c r="U227"/>
  <c r="U228"/>
  <c r="U229"/>
  <c r="U230"/>
  <c r="U231"/>
  <c r="U232"/>
  <c r="U233"/>
  <c r="U234"/>
  <c r="U198"/>
  <c r="U199"/>
  <c r="U200"/>
  <c r="U201"/>
  <c r="U124"/>
  <c r="U235"/>
  <c r="U236"/>
  <c r="U237"/>
  <c r="U238"/>
  <c r="U239"/>
  <c r="U376"/>
  <c r="U36"/>
  <c r="U194"/>
  <c r="U195"/>
  <c r="U196"/>
  <c r="U197"/>
  <c r="U256"/>
  <c r="U257"/>
  <c r="U258"/>
  <c r="EJ159" i="37" l="1"/>
  <c r="EJ157"/>
  <c r="EJ155"/>
  <c r="EJ153"/>
  <c r="EJ151"/>
  <c r="EJ149"/>
  <c r="EJ147"/>
  <c r="EJ145"/>
  <c r="EJ143"/>
  <c r="EJ141"/>
  <c r="EJ139"/>
  <c r="EJ137"/>
  <c r="EJ135"/>
  <c r="EJ133"/>
  <c r="EJ131"/>
  <c r="EJ129"/>
  <c r="EJ127"/>
  <c r="EJ125"/>
  <c r="EJ123"/>
  <c r="EJ121"/>
  <c r="EJ119"/>
  <c r="EJ117"/>
  <c r="EJ115"/>
  <c r="EJ113"/>
  <c r="EJ111"/>
  <c r="EJ109"/>
  <c r="EJ107"/>
  <c r="EJ105"/>
  <c r="EJ103"/>
  <c r="EJ101"/>
  <c r="EJ99"/>
  <c r="EJ97"/>
  <c r="EJ95"/>
  <c r="EJ93"/>
  <c r="EJ91"/>
  <c r="EJ89"/>
  <c r="EJ87"/>
  <c r="EJ85"/>
  <c r="EJ83"/>
  <c r="EJ81"/>
  <c r="EJ79"/>
  <c r="EJ77"/>
  <c r="EJ75"/>
  <c r="EJ73"/>
  <c r="EJ71"/>
  <c r="EJ69"/>
  <c r="EJ67"/>
  <c r="EJ65"/>
  <c r="EJ63"/>
  <c r="EJ61"/>
  <c r="EJ59"/>
  <c r="EJ57"/>
  <c r="EJ55"/>
  <c r="EJ53"/>
  <c r="EJ51"/>
  <c r="EJ49"/>
  <c r="EJ47"/>
  <c r="EJ45"/>
  <c r="EJ43"/>
  <c r="EJ41"/>
  <c r="EJ39"/>
  <c r="EJ37"/>
  <c r="EJ35"/>
  <c r="EJ33"/>
  <c r="EJ31"/>
  <c r="EJ29"/>
  <c r="EJ27"/>
  <c r="EJ25"/>
  <c r="EJ23"/>
  <c r="EJ21"/>
  <c r="EJ19"/>
  <c r="EJ17"/>
  <c r="EJ15"/>
  <c r="EJ13"/>
  <c r="EJ11"/>
  <c r="EJ160"/>
  <c r="EJ158"/>
  <c r="EJ156"/>
  <c r="EJ154"/>
  <c r="EJ152"/>
  <c r="EJ150"/>
  <c r="EJ148"/>
  <c r="EJ146"/>
  <c r="EJ144"/>
  <c r="EJ142"/>
  <c r="EJ140"/>
  <c r="EJ138"/>
  <c r="EJ136"/>
  <c r="EJ134"/>
  <c r="EJ132"/>
  <c r="EJ130"/>
  <c r="EJ128"/>
  <c r="EJ126"/>
  <c r="EJ124"/>
  <c r="EJ122"/>
  <c r="EJ120"/>
  <c r="EJ118"/>
  <c r="EJ116"/>
  <c r="EJ114"/>
  <c r="EJ112"/>
  <c r="EJ110"/>
  <c r="EJ108"/>
  <c r="EJ106"/>
  <c r="EJ104"/>
  <c r="EJ102"/>
  <c r="EJ100"/>
  <c r="EJ98"/>
  <c r="EJ96"/>
  <c r="EJ94"/>
  <c r="EJ92"/>
  <c r="EJ90"/>
  <c r="EJ88"/>
  <c r="EJ86"/>
  <c r="EJ84"/>
  <c r="EJ82"/>
  <c r="EJ80"/>
  <c r="EJ78"/>
  <c r="EJ76"/>
  <c r="EJ74"/>
  <c r="EJ72"/>
  <c r="EJ70"/>
  <c r="EJ68"/>
  <c r="EJ66"/>
  <c r="EJ64"/>
  <c r="EJ62"/>
  <c r="EJ60"/>
  <c r="EJ58"/>
  <c r="EJ56"/>
  <c r="EJ54"/>
  <c r="EJ52"/>
  <c r="EJ50"/>
  <c r="EJ48"/>
  <c r="EJ46"/>
  <c r="EJ44"/>
  <c r="EJ42"/>
  <c r="EJ40"/>
  <c r="EJ38"/>
  <c r="EJ36"/>
  <c r="EJ34"/>
  <c r="EJ32"/>
  <c r="EJ30"/>
  <c r="EJ28"/>
  <c r="EJ26"/>
  <c r="EJ24"/>
  <c r="EJ22"/>
  <c r="EJ20"/>
  <c r="EJ18"/>
  <c r="EJ16"/>
  <c r="EJ14"/>
  <c r="EJ12"/>
  <c r="EJ10"/>
  <c r="V41" a="1"/>
  <c r="V41" s="1"/>
  <c r="V40" a="1"/>
  <c r="V40" s="1"/>
  <c r="V39" a="1"/>
  <c r="V39" s="1"/>
  <c r="V38" a="1"/>
  <c r="V38" s="1"/>
  <c r="V37" a="1"/>
  <c r="V37" s="1"/>
  <c r="V36" a="1"/>
  <c r="V36" s="1"/>
  <c r="V35" a="1"/>
  <c r="V35" s="1"/>
  <c r="V34" a="1"/>
  <c r="V34" s="1"/>
  <c r="V33" a="1"/>
  <c r="V33" s="1"/>
  <c r="V32" a="1"/>
  <c r="V32" s="1"/>
  <c r="V31" a="1"/>
  <c r="V31" s="1"/>
  <c r="V30" a="1"/>
  <c r="V30" s="1"/>
  <c r="V29" a="1"/>
  <c r="V29" s="1"/>
  <c r="V28" a="1"/>
  <c r="V28" s="1"/>
  <c r="V27" a="1"/>
  <c r="V27" s="1"/>
  <c r="V26" a="1"/>
  <c r="V26" s="1"/>
  <c r="V25" a="1"/>
  <c r="V25" s="1"/>
  <c r="V24" a="1"/>
  <c r="V24" s="1"/>
  <c r="V23" a="1"/>
  <c r="V23" s="1"/>
  <c r="V22" a="1"/>
  <c r="V22" s="1"/>
  <c r="V21" a="1"/>
  <c r="V21" s="1"/>
  <c r="V20" a="1"/>
  <c r="V20" s="1"/>
  <c r="V19" a="1"/>
  <c r="V19" s="1"/>
  <c r="V18" a="1"/>
  <c r="V18" s="1"/>
  <c r="V17" a="1"/>
  <c r="V17" s="1"/>
  <c r="V16" a="1"/>
  <c r="V16" s="1"/>
  <c r="V15" a="1"/>
  <c r="V15" s="1"/>
  <c r="V14" a="1"/>
  <c r="V14" s="1"/>
  <c r="V13" a="1"/>
  <c r="V13" s="1"/>
  <c r="V12" a="1"/>
  <c r="V12" s="1"/>
  <c r="V11" a="1"/>
  <c r="V11" s="1"/>
  <c r="V10" a="1"/>
  <c r="V10" s="1"/>
  <c r="U41" a="1"/>
  <c r="U41" s="1"/>
  <c r="U40" a="1"/>
  <c r="U40" s="1"/>
  <c r="U39" a="1"/>
  <c r="U39" s="1"/>
  <c r="U38" a="1"/>
  <c r="U38" s="1"/>
  <c r="U37" a="1"/>
  <c r="U37" s="1"/>
  <c r="U36" a="1"/>
  <c r="U36" s="1"/>
  <c r="U35" a="1"/>
  <c r="U35" s="1"/>
  <c r="U34" a="1"/>
  <c r="U34" s="1"/>
  <c r="U33" a="1"/>
  <c r="U33" s="1"/>
  <c r="U32" a="1"/>
  <c r="U32" s="1"/>
  <c r="U31" a="1"/>
  <c r="U31" s="1"/>
  <c r="U30" a="1"/>
  <c r="U30" s="1"/>
  <c r="U29" a="1"/>
  <c r="U29" s="1"/>
  <c r="U28" a="1"/>
  <c r="U28" s="1"/>
  <c r="U27" a="1"/>
  <c r="U27" s="1"/>
  <c r="U26" a="1"/>
  <c r="U26" s="1"/>
  <c r="U25" a="1"/>
  <c r="U25" s="1"/>
  <c r="U24" a="1"/>
  <c r="U24" s="1"/>
  <c r="U23" a="1"/>
  <c r="U23" s="1"/>
  <c r="U22" a="1"/>
  <c r="U22" s="1"/>
  <c r="U21" a="1"/>
  <c r="U21" s="1"/>
  <c r="U20" a="1"/>
  <c r="U20" s="1"/>
  <c r="U19" a="1"/>
  <c r="U19" s="1"/>
  <c r="U18" a="1"/>
  <c r="U18" s="1"/>
  <c r="U17" a="1"/>
  <c r="U17" s="1"/>
  <c r="U16" a="1"/>
  <c r="U16" s="1"/>
  <c r="U15" a="1"/>
  <c r="U15" s="1"/>
  <c r="U14" a="1"/>
  <c r="U14" s="1"/>
  <c r="U13" a="1"/>
  <c r="U13" s="1"/>
  <c r="U12" a="1"/>
  <c r="U12" s="1"/>
  <c r="U11" a="1"/>
  <c r="U11" s="1"/>
  <c r="U10" a="1"/>
  <c r="U10" s="1"/>
  <c r="T41" a="1"/>
  <c r="T41" s="1"/>
  <c r="T40" a="1"/>
  <c r="T40" s="1"/>
  <c r="T39" a="1"/>
  <c r="T39" s="1"/>
  <c r="T38" a="1"/>
  <c r="T38" s="1"/>
  <c r="T37" a="1"/>
  <c r="T37" s="1"/>
  <c r="T36" a="1"/>
  <c r="T36" s="1"/>
  <c r="T35" a="1"/>
  <c r="T35" s="1"/>
  <c r="T34" a="1"/>
  <c r="T34" s="1"/>
  <c r="T33" a="1"/>
  <c r="T33" s="1"/>
  <c r="T32" a="1"/>
  <c r="T32" s="1"/>
  <c r="T31" a="1"/>
  <c r="T31" s="1"/>
  <c r="T30" a="1"/>
  <c r="T30" s="1"/>
  <c r="T29" a="1"/>
  <c r="T29" s="1"/>
  <c r="T28" a="1"/>
  <c r="T28" s="1"/>
  <c r="T27" a="1"/>
  <c r="T27" s="1"/>
  <c r="T26" a="1"/>
  <c r="T26" s="1"/>
  <c r="T25" a="1"/>
  <c r="T25" s="1"/>
  <c r="T24" a="1"/>
  <c r="T24" s="1"/>
  <c r="T23" a="1"/>
  <c r="T23" s="1"/>
  <c r="T22" a="1"/>
  <c r="T22" s="1"/>
  <c r="T21" a="1"/>
  <c r="T21" s="1"/>
  <c r="T20" a="1"/>
  <c r="T20" s="1"/>
  <c r="T19" a="1"/>
  <c r="T19" s="1"/>
  <c r="T18" a="1"/>
  <c r="T18" s="1"/>
  <c r="T17" a="1"/>
  <c r="T17" s="1"/>
  <c r="T16" a="1"/>
  <c r="T16" s="1"/>
  <c r="T15" a="1"/>
  <c r="T15" s="1"/>
  <c r="T14" a="1"/>
  <c r="T14" s="1"/>
  <c r="T13" a="1"/>
  <c r="T13" s="1"/>
  <c r="T12" a="1"/>
  <c r="T12" s="1"/>
  <c r="T11" a="1"/>
  <c r="T11" s="1"/>
  <c r="T10" a="1"/>
  <c r="T10" s="1"/>
  <c r="R41" a="1"/>
  <c r="R41" s="1"/>
  <c r="R40" a="1"/>
  <c r="R40" s="1"/>
  <c r="R39" a="1"/>
  <c r="R39" s="1"/>
  <c r="R38" a="1"/>
  <c r="R38" s="1"/>
  <c r="R37" a="1"/>
  <c r="R37" s="1"/>
  <c r="R36" a="1"/>
  <c r="R36" s="1"/>
  <c r="R35" a="1"/>
  <c r="R35" s="1"/>
  <c r="R34" a="1"/>
  <c r="R34" s="1"/>
  <c r="R33" a="1"/>
  <c r="R33" s="1"/>
  <c r="R32" a="1"/>
  <c r="R32" s="1"/>
  <c r="R31" a="1"/>
  <c r="R31" s="1"/>
  <c r="R30" a="1"/>
  <c r="R30" s="1"/>
  <c r="R29" a="1"/>
  <c r="R29" s="1"/>
  <c r="R28" a="1"/>
  <c r="R28" s="1"/>
  <c r="R27" a="1"/>
  <c r="R27" s="1"/>
  <c r="R26" a="1"/>
  <c r="R26" s="1"/>
  <c r="R25" a="1"/>
  <c r="R25" s="1"/>
  <c r="R24" a="1"/>
  <c r="R24" s="1"/>
  <c r="R23" a="1"/>
  <c r="R23" s="1"/>
  <c r="R22" a="1"/>
  <c r="R22" s="1"/>
  <c r="R21" a="1"/>
  <c r="R21" s="1"/>
  <c r="R20" a="1"/>
  <c r="R20" s="1"/>
  <c r="R19" a="1"/>
  <c r="R19" s="1"/>
  <c r="R18" a="1"/>
  <c r="R18" s="1"/>
  <c r="R17" a="1"/>
  <c r="R17" s="1"/>
  <c r="R16" a="1"/>
  <c r="R16" s="1"/>
  <c r="R15" a="1"/>
  <c r="R15" s="1"/>
  <c r="R14" a="1"/>
  <c r="R14" s="1"/>
  <c r="R13" a="1"/>
  <c r="R13" s="1"/>
  <c r="R12" a="1"/>
  <c r="R12" s="1"/>
  <c r="R11" a="1"/>
  <c r="R11" s="1"/>
  <c r="R10" a="1"/>
  <c r="R10" s="1"/>
  <c r="O41" a="1"/>
  <c r="O41" s="1"/>
  <c r="O40" a="1"/>
  <c r="O40" s="1"/>
  <c r="O39" a="1"/>
  <c r="O39" s="1"/>
  <c r="O38" a="1"/>
  <c r="O38" s="1"/>
  <c r="O37" a="1"/>
  <c r="O37" s="1"/>
  <c r="O36" a="1"/>
  <c r="O36" s="1"/>
  <c r="O35" a="1"/>
  <c r="O35" s="1"/>
  <c r="O34" a="1"/>
  <c r="O34" s="1"/>
  <c r="O33" a="1"/>
  <c r="O33" s="1"/>
  <c r="O32" a="1"/>
  <c r="O32" s="1"/>
  <c r="O31" a="1"/>
  <c r="O31" s="1"/>
  <c r="O30" a="1"/>
  <c r="O30" s="1"/>
  <c r="O29" a="1"/>
  <c r="O29" s="1"/>
  <c r="O28" a="1"/>
  <c r="O28" s="1"/>
  <c r="O27" a="1"/>
  <c r="O27" s="1"/>
  <c r="O26" a="1"/>
  <c r="O26" s="1"/>
  <c r="O25" a="1"/>
  <c r="O25" s="1"/>
  <c r="O24" a="1"/>
  <c r="O24" s="1"/>
  <c r="O23" a="1"/>
  <c r="O23" s="1"/>
  <c r="O22" a="1"/>
  <c r="O22" s="1"/>
  <c r="O21" a="1"/>
  <c r="O21" s="1"/>
  <c r="O20" a="1"/>
  <c r="O20" s="1"/>
  <c r="O19" a="1"/>
  <c r="O19" s="1"/>
  <c r="O18" a="1"/>
  <c r="O18" s="1"/>
  <c r="O17" a="1"/>
  <c r="O17" s="1"/>
  <c r="O16" a="1"/>
  <c r="O16" s="1"/>
  <c r="O15" a="1"/>
  <c r="O15" s="1"/>
  <c r="O14" a="1"/>
  <c r="O14" s="1"/>
  <c r="O13" a="1"/>
  <c r="O13" s="1"/>
  <c r="O12" a="1"/>
  <c r="O12" s="1"/>
  <c r="O11" a="1"/>
  <c r="O11" s="1"/>
  <c r="O10" a="1"/>
  <c r="O10" s="1"/>
  <c r="N41" a="1"/>
  <c r="N41" s="1"/>
  <c r="N40" a="1"/>
  <c r="N40" s="1"/>
  <c r="N39" a="1"/>
  <c r="N39" s="1"/>
  <c r="N38" a="1"/>
  <c r="N38" s="1"/>
  <c r="N37" a="1"/>
  <c r="N37" s="1"/>
  <c r="N36" a="1"/>
  <c r="N36" s="1"/>
  <c r="N35" a="1"/>
  <c r="N35" s="1"/>
  <c r="N34" a="1"/>
  <c r="N34" s="1"/>
  <c r="N33" a="1"/>
  <c r="N33" s="1"/>
  <c r="N32" a="1"/>
  <c r="N32" s="1"/>
  <c r="N31" a="1"/>
  <c r="N31" s="1"/>
  <c r="N30" a="1"/>
  <c r="N30" s="1"/>
  <c r="N29" a="1"/>
  <c r="N29" s="1"/>
  <c r="N28" a="1"/>
  <c r="N28" s="1"/>
  <c r="N27" a="1"/>
  <c r="N27" s="1"/>
  <c r="N26" a="1"/>
  <c r="N26" s="1"/>
  <c r="N25" a="1"/>
  <c r="N25" s="1"/>
  <c r="N24" a="1"/>
  <c r="N24" s="1"/>
  <c r="N23" a="1"/>
  <c r="N23" s="1"/>
  <c r="N22" a="1"/>
  <c r="N22" s="1"/>
  <c r="N21" a="1"/>
  <c r="N21" s="1"/>
  <c r="N20" a="1"/>
  <c r="N20" s="1"/>
  <c r="N19" a="1"/>
  <c r="N19" s="1"/>
  <c r="N18" a="1"/>
  <c r="N18" s="1"/>
  <c r="N17" a="1"/>
  <c r="N17" s="1"/>
  <c r="N16" a="1"/>
  <c r="N16" s="1"/>
  <c r="N15" a="1"/>
  <c r="N15" s="1"/>
  <c r="N14" a="1"/>
  <c r="N14" s="1"/>
  <c r="N13" a="1"/>
  <c r="N13" s="1"/>
  <c r="N12" a="1"/>
  <c r="N12" s="1"/>
  <c r="N11" a="1"/>
  <c r="N11" s="1"/>
  <c r="N10" a="1"/>
  <c r="N10" s="1"/>
  <c r="M41" a="1"/>
  <c r="M41" s="1"/>
  <c r="M40" a="1"/>
  <c r="M40" s="1"/>
  <c r="M39" a="1"/>
  <c r="M39" s="1"/>
  <c r="M38" a="1"/>
  <c r="M38" s="1"/>
  <c r="M37" a="1"/>
  <c r="M37" s="1"/>
  <c r="M36" a="1"/>
  <c r="M36" s="1"/>
  <c r="M35" a="1"/>
  <c r="M35" s="1"/>
  <c r="M34" a="1"/>
  <c r="M34" s="1"/>
  <c r="M33" a="1"/>
  <c r="M33" s="1"/>
  <c r="M32" a="1"/>
  <c r="M32" s="1"/>
  <c r="M31" a="1"/>
  <c r="M31" s="1"/>
  <c r="M30" a="1"/>
  <c r="M30" s="1"/>
  <c r="M29" a="1"/>
  <c r="M29" s="1"/>
  <c r="M28" a="1"/>
  <c r="M28" s="1"/>
  <c r="M27" a="1"/>
  <c r="M27" s="1"/>
  <c r="M26" a="1"/>
  <c r="M26" s="1"/>
  <c r="M25" a="1"/>
  <c r="M25" s="1"/>
  <c r="M24" a="1"/>
  <c r="M24" s="1"/>
  <c r="M23" a="1"/>
  <c r="M23" s="1"/>
  <c r="M22" a="1"/>
  <c r="M22" s="1"/>
  <c r="M21" a="1"/>
  <c r="M21" s="1"/>
  <c r="M20" a="1"/>
  <c r="M20" s="1"/>
  <c r="M19" a="1"/>
  <c r="M19" s="1"/>
  <c r="M18" a="1"/>
  <c r="M18" s="1"/>
  <c r="M17" a="1"/>
  <c r="M17" s="1"/>
  <c r="M16" a="1"/>
  <c r="M16" s="1"/>
  <c r="M15" a="1"/>
  <c r="M15" s="1"/>
  <c r="M14" a="1"/>
  <c r="M14" s="1"/>
  <c r="M13" a="1"/>
  <c r="M13" s="1"/>
  <c r="M12" a="1"/>
  <c r="M12" s="1"/>
  <c r="M11" a="1"/>
  <c r="M11" s="1"/>
  <c r="M10" a="1"/>
  <c r="M10" s="1"/>
  <c r="L41" a="1"/>
  <c r="L41" s="1"/>
  <c r="L40" a="1"/>
  <c r="L40" s="1"/>
  <c r="L39" a="1"/>
  <c r="L39" s="1"/>
  <c r="L38" a="1"/>
  <c r="L38" s="1"/>
  <c r="L37" a="1"/>
  <c r="L37" s="1"/>
  <c r="L36" a="1"/>
  <c r="L36" s="1"/>
  <c r="L35" a="1"/>
  <c r="L35" s="1"/>
  <c r="L34" a="1"/>
  <c r="L34" s="1"/>
  <c r="L33" a="1"/>
  <c r="L33" s="1"/>
  <c r="L32" a="1"/>
  <c r="L32" s="1"/>
  <c r="L31" a="1"/>
  <c r="L31" s="1"/>
  <c r="L30" a="1"/>
  <c r="L30" s="1"/>
  <c r="L29" a="1"/>
  <c r="L29" s="1"/>
  <c r="L28" a="1"/>
  <c r="L28" s="1"/>
  <c r="L27" a="1"/>
  <c r="L27" s="1"/>
  <c r="L26" a="1"/>
  <c r="L26" s="1"/>
  <c r="L25" a="1"/>
  <c r="L25" s="1"/>
  <c r="L24" a="1"/>
  <c r="L24" s="1"/>
  <c r="L23" a="1"/>
  <c r="L23" s="1"/>
  <c r="L22" a="1"/>
  <c r="L22" s="1"/>
  <c r="L21" a="1"/>
  <c r="L21" s="1"/>
  <c r="L20" a="1"/>
  <c r="L20" s="1"/>
  <c r="L19" a="1"/>
  <c r="L19" s="1"/>
  <c r="L17" a="1"/>
  <c r="L17" s="1"/>
  <c r="L16" a="1"/>
  <c r="L16" s="1"/>
  <c r="L15" a="1"/>
  <c r="L15" s="1"/>
  <c r="L14" a="1"/>
  <c r="L14" s="1"/>
  <c r="L13" a="1"/>
  <c r="L13" s="1"/>
  <c r="L12" a="1"/>
  <c r="L12" s="1"/>
  <c r="L10" a="1"/>
  <c r="L10" s="1"/>
  <c r="D23" l="1"/>
  <c r="D29"/>
  <c r="D28"/>
  <c r="D26"/>
  <c r="D27"/>
  <c r="D21"/>
  <c r="I34"/>
  <c r="S38"/>
  <c r="S40"/>
  <c r="S37"/>
  <c r="S39"/>
  <c r="S41"/>
  <c r="S10"/>
  <c r="S12"/>
  <c r="S14"/>
  <c r="S16"/>
  <c r="S18"/>
  <c r="S20"/>
  <c r="S22"/>
  <c r="S24"/>
  <c r="S26"/>
  <c r="S28"/>
  <c r="S30"/>
  <c r="S32"/>
  <c r="S34"/>
  <c r="S36"/>
  <c r="S11"/>
  <c r="S13"/>
  <c r="S15"/>
  <c r="S17"/>
  <c r="S19"/>
  <c r="S21"/>
  <c r="S23"/>
  <c r="S25"/>
  <c r="S27"/>
  <c r="S29"/>
  <c r="S31"/>
  <c r="S33"/>
  <c r="S35"/>
  <c r="I32"/>
  <c r="I36"/>
  <c r="G38"/>
  <c r="B2"/>
  <c r="F30" l="1"/>
  <c r="G32"/>
  <c r="G36"/>
  <c r="I38"/>
  <c r="G34"/>
  <c r="G40"/>
  <c r="DA110"/>
  <c r="DA109"/>
  <c r="DA108"/>
  <c r="DA107"/>
  <c r="DA106"/>
  <c r="DA105"/>
  <c r="DA104"/>
  <c r="DA103"/>
  <c r="DA102"/>
  <c r="DA101"/>
  <c r="DA100"/>
  <c r="DA99"/>
  <c r="DA98"/>
  <c r="DA97"/>
  <c r="DA96"/>
  <c r="DA95"/>
  <c r="DA94"/>
  <c r="DA93"/>
  <c r="DA92"/>
  <c r="DA91"/>
  <c r="DA90"/>
  <c r="DA89"/>
  <c r="DA88"/>
  <c r="DA87"/>
  <c r="DA86"/>
  <c r="DA85"/>
  <c r="DA84"/>
  <c r="DA83"/>
  <c r="DA82"/>
  <c r="DA81"/>
  <c r="DA80"/>
  <c r="DA79"/>
  <c r="DA78"/>
  <c r="DA77"/>
  <c r="DA76"/>
  <c r="DA75"/>
  <c r="DA74"/>
  <c r="DA73"/>
  <c r="DA72"/>
  <c r="DA71"/>
  <c r="DA70"/>
  <c r="DA69"/>
  <c r="DA68"/>
  <c r="DA67"/>
  <c r="DA66"/>
  <c r="DA65"/>
  <c r="DA64"/>
  <c r="DA63"/>
  <c r="DA62"/>
  <c r="DA61"/>
  <c r="DA60"/>
  <c r="DA59"/>
  <c r="DA58"/>
  <c r="DA57"/>
  <c r="DA56"/>
  <c r="DA55"/>
  <c r="DA54"/>
  <c r="DA53"/>
  <c r="DA52"/>
  <c r="DA51"/>
  <c r="DA50"/>
  <c r="DA49"/>
  <c r="DA48"/>
  <c r="DA47"/>
  <c r="DA46"/>
  <c r="DA45"/>
  <c r="DA44"/>
  <c r="DA43"/>
  <c r="DA42"/>
  <c r="DA40"/>
  <c r="DA39"/>
  <c r="DA38"/>
  <c r="DA37"/>
  <c r="DA36"/>
  <c r="DA35"/>
  <c r="DA34"/>
  <c r="DA33"/>
  <c r="DA32"/>
  <c r="DA31"/>
  <c r="DA30"/>
  <c r="DA29"/>
  <c r="DA28"/>
  <c r="DA27"/>
  <c r="DA26"/>
  <c r="DA25"/>
  <c r="DA24"/>
  <c r="DA23"/>
  <c r="DA22"/>
  <c r="DA21"/>
  <c r="DA20"/>
  <c r="DA19"/>
  <c r="DA18"/>
  <c r="DA17"/>
  <c r="DA16"/>
  <c r="DA15"/>
  <c r="DA14"/>
  <c r="DA13"/>
  <c r="DA12"/>
  <c r="DA11"/>
  <c r="DA10"/>
  <c r="I56" i="30" l="1"/>
  <c r="J56"/>
  <c r="K56"/>
  <c r="L56"/>
  <c r="M56"/>
  <c r="N56"/>
  <c r="O56"/>
  <c r="AI68" i="31" l="1"/>
  <c r="AJ68"/>
  <c r="AB68" s="1"/>
  <c r="AI69"/>
  <c r="AJ69"/>
  <c r="AB69" s="1"/>
  <c r="AI70"/>
  <c r="AJ70"/>
  <c r="AB70" s="1"/>
  <c r="AI71"/>
  <c r="AJ71"/>
  <c r="AB71" s="1"/>
  <c r="AI72"/>
  <c r="AJ72"/>
  <c r="AB72" s="1"/>
  <c r="AI73"/>
  <c r="AJ73"/>
  <c r="AB73" s="1"/>
  <c r="AI74"/>
  <c r="AJ74"/>
  <c r="AB74" s="1"/>
  <c r="AI75"/>
  <c r="AJ75"/>
  <c r="AB75" s="1"/>
  <c r="EF11" i="37"/>
  <c r="EF12"/>
  <c r="EF13"/>
  <c r="EF14"/>
  <c r="EF15"/>
  <c r="EF16"/>
  <c r="EF17"/>
  <c r="EF18"/>
  <c r="EF19"/>
  <c r="EF20"/>
  <c r="EF21"/>
  <c r="EF22"/>
  <c r="EF23"/>
  <c r="EF24"/>
  <c r="EF25"/>
  <c r="EF26"/>
  <c r="EF27"/>
  <c r="EF28"/>
  <c r="EF29"/>
  <c r="EF30"/>
  <c r="EF31"/>
  <c r="EF32"/>
  <c r="EF33"/>
  <c r="EF34"/>
  <c r="EF35"/>
  <c r="EF36"/>
  <c r="EF37"/>
  <c r="EF38"/>
  <c r="EF39"/>
  <c r="EF40"/>
  <c r="EF41"/>
  <c r="EF42"/>
  <c r="EF43"/>
  <c r="EF44"/>
  <c r="EF45"/>
  <c r="EF46"/>
  <c r="EF47"/>
  <c r="EF48"/>
  <c r="EF49"/>
  <c r="EF50"/>
  <c r="EF51"/>
  <c r="EF52"/>
  <c r="EF53"/>
  <c r="EF54"/>
  <c r="EF55"/>
  <c r="EF56"/>
  <c r="EF57"/>
  <c r="EF58"/>
  <c r="EF59"/>
  <c r="EF60"/>
  <c r="EF61"/>
  <c r="EF62"/>
  <c r="EF63"/>
  <c r="EF64"/>
  <c r="EF65"/>
  <c r="EF66"/>
  <c r="EF67"/>
  <c r="EF68"/>
  <c r="EF69"/>
  <c r="EF70"/>
  <c r="EF71"/>
  <c r="EF72"/>
  <c r="EF73"/>
  <c r="EF74"/>
  <c r="EF75"/>
  <c r="EF76"/>
  <c r="EF77"/>
  <c r="EF78"/>
  <c r="EF79"/>
  <c r="EF80"/>
  <c r="EF81"/>
  <c r="EF82"/>
  <c r="EF83"/>
  <c r="EF84"/>
  <c r="EF85"/>
  <c r="EF86"/>
  <c r="EF87"/>
  <c r="EF88"/>
  <c r="EF89"/>
  <c r="EF90"/>
  <c r="EF91"/>
  <c r="EF92"/>
  <c r="EF93"/>
  <c r="EF94"/>
  <c r="EF95"/>
  <c r="EF96"/>
  <c r="EF97"/>
  <c r="EF98"/>
  <c r="EF99"/>
  <c r="EF100"/>
  <c r="EF101"/>
  <c r="EF102"/>
  <c r="EF103"/>
  <c r="EF104"/>
  <c r="EF105"/>
  <c r="EF106"/>
  <c r="EF107"/>
  <c r="EF108"/>
  <c r="EF109"/>
  <c r="EF110"/>
  <c r="EF111"/>
  <c r="EF112"/>
  <c r="EF113"/>
  <c r="EF114"/>
  <c r="EF115"/>
  <c r="EF116"/>
  <c r="EF117"/>
  <c r="EF118"/>
  <c r="EF119"/>
  <c r="EF120"/>
  <c r="EF121"/>
  <c r="EF122"/>
  <c r="EF123"/>
  <c r="EF124"/>
  <c r="EF125"/>
  <c r="EF126"/>
  <c r="EF127"/>
  <c r="EF128"/>
  <c r="EF129"/>
  <c r="EF130"/>
  <c r="EF131"/>
  <c r="EF132"/>
  <c r="EF133"/>
  <c r="EF134"/>
  <c r="EF135"/>
  <c r="EF136"/>
  <c r="EF137"/>
  <c r="EF138"/>
  <c r="EF139"/>
  <c r="EF140"/>
  <c r="EF141"/>
  <c r="EF142"/>
  <c r="EF143"/>
  <c r="EF144"/>
  <c r="EF145"/>
  <c r="EF146"/>
  <c r="EF147"/>
  <c r="EF148"/>
  <c r="EF149"/>
  <c r="EF150"/>
  <c r="EF151"/>
  <c r="EF152"/>
  <c r="EF153"/>
  <c r="EF154"/>
  <c r="EF155"/>
  <c r="EF156"/>
  <c r="EF157"/>
  <c r="EF158"/>
  <c r="EF159"/>
  <c r="EF160"/>
  <c r="EF10"/>
  <c r="AX13"/>
  <c r="AK75" i="31" l="1"/>
  <c r="AM75" s="1"/>
  <c r="AA75"/>
  <c r="AK74"/>
  <c r="AM74" s="1"/>
  <c r="AA74"/>
  <c r="AK73"/>
  <c r="AM73" s="1"/>
  <c r="AA73"/>
  <c r="AK72"/>
  <c r="AM72" s="1"/>
  <c r="AA72"/>
  <c r="AK71"/>
  <c r="AM71" s="1"/>
  <c r="AA71"/>
  <c r="AK70"/>
  <c r="AM70" s="1"/>
  <c r="AA70"/>
  <c r="AK69"/>
  <c r="AM69" s="1"/>
  <c r="AA69"/>
  <c r="AK68"/>
  <c r="AM68" s="1"/>
  <c r="AA68"/>
  <c r="AX11" i="37"/>
  <c r="AP68" i="31" l="1"/>
  <c r="AP69"/>
  <c r="AR69" s="1"/>
  <c r="AP70"/>
  <c r="AR70" s="1"/>
  <c r="AP71"/>
  <c r="AR71" s="1"/>
  <c r="AP72"/>
  <c r="AR72" s="1"/>
  <c r="AP73"/>
  <c r="AR73" s="1"/>
  <c r="AP74"/>
  <c r="AR74" s="1"/>
  <c r="AP75"/>
  <c r="AR75" s="1"/>
  <c r="AR68"/>
  <c r="AO68"/>
  <c r="AQ68" s="1"/>
  <c r="AO69"/>
  <c r="AQ69" s="1"/>
  <c r="AO70"/>
  <c r="AQ70" s="1"/>
  <c r="AO71"/>
  <c r="AQ71" s="1"/>
  <c r="AO72"/>
  <c r="AQ72" s="1"/>
  <c r="AO73"/>
  <c r="AQ73" s="1"/>
  <c r="AO74"/>
  <c r="AQ74" s="1"/>
  <c r="AO75"/>
  <c r="AQ75" s="1"/>
  <c r="CO110" i="37"/>
  <c r="AZ17" l="1"/>
  <c r="AR18"/>
  <c r="AR19"/>
  <c r="AR20" l="1"/>
  <c r="AR21"/>
  <c r="CW16"/>
  <c r="AT20" l="1"/>
  <c r="CW13"/>
  <c r="CW12"/>
  <c r="CW11"/>
  <c r="CW10"/>
  <c r="H55" i="52" l="1"/>
  <c r="C58" i="51" l="1"/>
  <c r="C112" s="1"/>
  <c r="A58"/>
  <c r="A112" s="1"/>
  <c r="C24" i="52"/>
  <c r="AT31" i="37"/>
  <c r="AR31"/>
  <c r="AR30"/>
  <c r="AI26" i="31"/>
  <c r="AJ26"/>
  <c r="AB26" s="1"/>
  <c r="AI27"/>
  <c r="AJ27"/>
  <c r="AB27" s="1"/>
  <c r="AI28"/>
  <c r="AJ28"/>
  <c r="AB28" s="1"/>
  <c r="AI29"/>
  <c r="AJ29"/>
  <c r="AB29" s="1"/>
  <c r="AI30"/>
  <c r="AJ30"/>
  <c r="AB30" s="1"/>
  <c r="AI31"/>
  <c r="AJ31"/>
  <c r="AB31" s="1"/>
  <c r="AI33"/>
  <c r="AJ33"/>
  <c r="AB33" s="1"/>
  <c r="AI34"/>
  <c r="AJ34"/>
  <c r="AB34" s="1"/>
  <c r="AI35"/>
  <c r="AJ35"/>
  <c r="AB35" s="1"/>
  <c r="AK34" l="1"/>
  <c r="AA34"/>
  <c r="AK33"/>
  <c r="AA33"/>
  <c r="AK30"/>
  <c r="AA30"/>
  <c r="AK29"/>
  <c r="AA29"/>
  <c r="AK28"/>
  <c r="AA28"/>
  <c r="AK27"/>
  <c r="AA27"/>
  <c r="AK26"/>
  <c r="AA26"/>
  <c r="AK35"/>
  <c r="AA35"/>
  <c r="AK31"/>
  <c r="AA31"/>
  <c r="A60" i="51"/>
  <c r="A114" s="1"/>
  <c r="C60"/>
  <c r="C114" s="1"/>
  <c r="AM31" i="31" l="1"/>
  <c r="AL31"/>
  <c r="AM35"/>
  <c r="AL35"/>
  <c r="AL26"/>
  <c r="AM26"/>
  <c r="AM27"/>
  <c r="AL27"/>
  <c r="AL28"/>
  <c r="AM28"/>
  <c r="AM29"/>
  <c r="AL29"/>
  <c r="AL30"/>
  <c r="AM30"/>
  <c r="AM33"/>
  <c r="AL33"/>
  <c r="AL34"/>
  <c r="AM34"/>
  <c r="AP31"/>
  <c r="AR31" s="1"/>
  <c r="AO31"/>
  <c r="AQ31" s="1"/>
  <c r="AP35"/>
  <c r="AR35" s="1"/>
  <c r="AO35"/>
  <c r="AQ35" s="1"/>
  <c r="AP26"/>
  <c r="AR26" s="1"/>
  <c r="AO26"/>
  <c r="AQ26" s="1"/>
  <c r="AP27"/>
  <c r="AR27" s="1"/>
  <c r="AO27"/>
  <c r="AQ27" s="1"/>
  <c r="AP28"/>
  <c r="AR28" s="1"/>
  <c r="AO28"/>
  <c r="AQ28" s="1"/>
  <c r="AP29"/>
  <c r="AR29" s="1"/>
  <c r="AO29"/>
  <c r="AQ29" s="1"/>
  <c r="AP30"/>
  <c r="AR30" s="1"/>
  <c r="AO30"/>
  <c r="AQ30" s="1"/>
  <c r="AP33"/>
  <c r="AR33" s="1"/>
  <c r="AO33"/>
  <c r="AQ33" s="1"/>
  <c r="AP34"/>
  <c r="AR34" s="1"/>
  <c r="AO34"/>
  <c r="AQ34" s="1"/>
  <c r="AG35"/>
  <c r="AD35"/>
  <c r="AF35"/>
  <c r="AH35"/>
  <c r="AC35"/>
  <c r="AE35"/>
  <c r="AD33"/>
  <c r="AF33"/>
  <c r="AH33"/>
  <c r="AC33"/>
  <c r="AE33"/>
  <c r="AG33"/>
  <c r="AE34"/>
  <c r="AD34"/>
  <c r="AF34"/>
  <c r="AH34"/>
  <c r="AC34"/>
  <c r="AG34"/>
  <c r="AJ6" l="1"/>
  <c r="AB6" s="1"/>
  <c r="AJ7"/>
  <c r="AB7" s="1"/>
  <c r="AJ8"/>
  <c r="AB8" s="1"/>
  <c r="AJ9"/>
  <c r="AB9" s="1"/>
  <c r="AJ10"/>
  <c r="AB10" s="1"/>
  <c r="AJ11"/>
  <c r="AB11" s="1"/>
  <c r="AJ12"/>
  <c r="AB12" s="1"/>
  <c r="AJ13"/>
  <c r="AB13" s="1"/>
  <c r="AJ18"/>
  <c r="AB18" s="1"/>
  <c r="AJ19"/>
  <c r="AB19" s="1"/>
  <c r="AJ20"/>
  <c r="AB20" s="1"/>
  <c r="AJ21"/>
  <c r="AB21" s="1"/>
  <c r="AJ22"/>
  <c r="AB22" s="1"/>
  <c r="AJ23"/>
  <c r="AB23" s="1"/>
  <c r="AJ24"/>
  <c r="AB24" s="1"/>
  <c r="AJ25"/>
  <c r="AB25" s="1"/>
  <c r="AJ44"/>
  <c r="AB44" s="1"/>
  <c r="AJ45"/>
  <c r="AB45" s="1"/>
  <c r="AJ46"/>
  <c r="AB46" s="1"/>
  <c r="AJ47"/>
  <c r="AB47" s="1"/>
  <c r="AJ52"/>
  <c r="AB52" s="1"/>
  <c r="AJ53"/>
  <c r="AB53" s="1"/>
  <c r="AJ54"/>
  <c r="AB54" s="1"/>
  <c r="AJ55"/>
  <c r="AB55" s="1"/>
  <c r="AJ2"/>
  <c r="AB2" s="1"/>
  <c r="AJ3"/>
  <c r="AB3" s="1"/>
  <c r="AJ4"/>
  <c r="AB4" s="1"/>
  <c r="AJ5"/>
  <c r="AB5" s="1"/>
  <c r="AJ14"/>
  <c r="AB14" s="1"/>
  <c r="AJ15"/>
  <c r="AB15" s="1"/>
  <c r="AJ16"/>
  <c r="AB16" s="1"/>
  <c r="AJ17"/>
  <c r="AB17" s="1"/>
  <c r="AJ32"/>
  <c r="AB32" s="1"/>
  <c r="AJ161"/>
  <c r="AJ40"/>
  <c r="AB40" s="1"/>
  <c r="AJ41"/>
  <c r="AB41" s="1"/>
  <c r="AJ42"/>
  <c r="AB42" s="1"/>
  <c r="AJ43"/>
  <c r="AB43" s="1"/>
  <c r="AJ56"/>
  <c r="AB56" s="1"/>
  <c r="AJ57"/>
  <c r="AB57" s="1"/>
  <c r="AJ58"/>
  <c r="AB58" s="1"/>
  <c r="AJ59"/>
  <c r="AB59" s="1"/>
  <c r="AJ60"/>
  <c r="AB60" s="1"/>
  <c r="AJ61"/>
  <c r="AB61" s="1"/>
  <c r="AJ62"/>
  <c r="AB62" s="1"/>
  <c r="AJ63"/>
  <c r="AB63" s="1"/>
  <c r="AJ64"/>
  <c r="AB64" s="1"/>
  <c r="AJ65"/>
  <c r="AB65" s="1"/>
  <c r="AJ66"/>
  <c r="AB66" s="1"/>
  <c r="AJ67"/>
  <c r="AB67" s="1"/>
  <c r="AJ86"/>
  <c r="AB86" s="1"/>
  <c r="AJ87"/>
  <c r="AB87" s="1"/>
  <c r="AJ88"/>
  <c r="AB88" s="1"/>
  <c r="AJ89"/>
  <c r="AB89" s="1"/>
  <c r="AJ90"/>
  <c r="AB90" s="1"/>
  <c r="AJ91"/>
  <c r="AB91" s="1"/>
  <c r="AJ92"/>
  <c r="AB92" s="1"/>
  <c r="AJ93"/>
  <c r="AB93" s="1"/>
  <c r="AJ76"/>
  <c r="AB76" s="1"/>
  <c r="AJ77"/>
  <c r="AB77" s="1"/>
  <c r="AJ94"/>
  <c r="AB94" s="1"/>
  <c r="AJ95"/>
  <c r="AB95" s="1"/>
  <c r="AJ48"/>
  <c r="AB48" s="1"/>
  <c r="AJ49"/>
  <c r="AB49" s="1"/>
  <c r="AJ50"/>
  <c r="AB50" s="1"/>
  <c r="AJ51"/>
  <c r="AB51" s="1"/>
  <c r="AJ36"/>
  <c r="AB36" s="1"/>
  <c r="AJ37"/>
  <c r="AB37" s="1"/>
  <c r="AJ38"/>
  <c r="AB38" s="1"/>
  <c r="AJ39"/>
  <c r="AB39" s="1"/>
  <c r="AJ82"/>
  <c r="AB82" s="1"/>
  <c r="AJ83"/>
  <c r="AB83" s="1"/>
  <c r="AJ84"/>
  <c r="AB84" s="1"/>
  <c r="AJ85"/>
  <c r="AB85" s="1"/>
  <c r="AJ162"/>
  <c r="AJ163"/>
  <c r="AJ78"/>
  <c r="AB78" s="1"/>
  <c r="AJ79"/>
  <c r="AB79" s="1"/>
  <c r="AJ80"/>
  <c r="AB80" s="1"/>
  <c r="AJ81"/>
  <c r="AB81" s="1"/>
  <c r="AI6"/>
  <c r="AI7"/>
  <c r="AI8"/>
  <c r="AI9"/>
  <c r="AI10"/>
  <c r="AI11"/>
  <c r="AI12"/>
  <c r="AI13"/>
  <c r="AI18"/>
  <c r="AI19"/>
  <c r="AI20"/>
  <c r="AI21"/>
  <c r="AI22"/>
  <c r="AI23"/>
  <c r="AI24"/>
  <c r="AI25"/>
  <c r="AI44"/>
  <c r="AI45"/>
  <c r="AI46"/>
  <c r="AI47"/>
  <c r="AI52"/>
  <c r="AI53"/>
  <c r="AI54"/>
  <c r="AI55"/>
  <c r="AI2"/>
  <c r="AI3"/>
  <c r="AI4"/>
  <c r="AI5"/>
  <c r="AI14"/>
  <c r="AI15"/>
  <c r="AI16"/>
  <c r="AI17"/>
  <c r="AI32"/>
  <c r="AI161"/>
  <c r="AI40"/>
  <c r="AI41"/>
  <c r="AI42"/>
  <c r="AI43"/>
  <c r="AI56"/>
  <c r="AI57"/>
  <c r="AI58"/>
  <c r="AI59"/>
  <c r="AI60"/>
  <c r="AI61"/>
  <c r="AI62"/>
  <c r="AI63"/>
  <c r="AI64"/>
  <c r="AI65"/>
  <c r="AI66"/>
  <c r="AI67"/>
  <c r="AI86"/>
  <c r="AI87"/>
  <c r="AI88"/>
  <c r="AI89"/>
  <c r="AI90"/>
  <c r="AI91"/>
  <c r="AI92"/>
  <c r="AI93"/>
  <c r="AI76"/>
  <c r="AI77"/>
  <c r="AI94"/>
  <c r="AI95"/>
  <c r="AI48"/>
  <c r="AI49"/>
  <c r="AI50"/>
  <c r="AI51"/>
  <c r="AI36"/>
  <c r="AI37"/>
  <c r="AI38"/>
  <c r="AI39"/>
  <c r="AI82"/>
  <c r="AI83"/>
  <c r="AI84"/>
  <c r="AI85"/>
  <c r="AI162"/>
  <c r="AI163"/>
  <c r="AI78"/>
  <c r="AI79"/>
  <c r="AI80"/>
  <c r="AI81"/>
  <c r="CL110" i="37"/>
  <c r="CY24" s="1"/>
  <c r="CN110"/>
  <c r="CG110"/>
  <c r="CM110"/>
  <c r="AK84" i="31" l="1"/>
  <c r="AN84" s="1"/>
  <c r="AA84"/>
  <c r="AK82"/>
  <c r="AN82" s="1"/>
  <c r="AA82"/>
  <c r="AK38"/>
  <c r="AM38" s="1"/>
  <c r="AA38"/>
  <c r="AK36"/>
  <c r="AM36" s="1"/>
  <c r="AA36"/>
  <c r="AK50"/>
  <c r="AM50" s="1"/>
  <c r="AA50"/>
  <c r="AK48"/>
  <c r="AM48" s="1"/>
  <c r="AA48"/>
  <c r="AK94"/>
  <c r="AL94" s="1"/>
  <c r="AA94"/>
  <c r="AK76"/>
  <c r="AL76" s="1"/>
  <c r="AA76"/>
  <c r="AK92"/>
  <c r="AL92" s="1"/>
  <c r="AA92"/>
  <c r="AK90"/>
  <c r="AL90" s="1"/>
  <c r="AA90"/>
  <c r="AK88"/>
  <c r="AL88" s="1"/>
  <c r="AA88"/>
  <c r="AK86"/>
  <c r="AL86" s="1"/>
  <c r="AA86"/>
  <c r="AK66"/>
  <c r="AL66" s="1"/>
  <c r="AA66"/>
  <c r="AK64"/>
  <c r="AL64" s="1"/>
  <c r="AA64"/>
  <c r="AK62"/>
  <c r="AL62" s="1"/>
  <c r="AA62"/>
  <c r="AK60"/>
  <c r="AL60" s="1"/>
  <c r="AA60"/>
  <c r="AK58"/>
  <c r="AL58" s="1"/>
  <c r="AA58"/>
  <c r="AK56"/>
  <c r="AL56" s="1"/>
  <c r="AA56"/>
  <c r="AK42"/>
  <c r="AL42" s="1"/>
  <c r="AA42"/>
  <c r="AK40"/>
  <c r="AL40" s="1"/>
  <c r="AA40"/>
  <c r="AK32"/>
  <c r="AA32"/>
  <c r="AK16"/>
  <c r="AA16"/>
  <c r="AK14"/>
  <c r="AA14"/>
  <c r="AK4"/>
  <c r="AA4"/>
  <c r="AK2"/>
  <c r="AL2" s="1"/>
  <c r="AA2"/>
  <c r="AK54"/>
  <c r="AL54" s="1"/>
  <c r="AA54"/>
  <c r="AK52"/>
  <c r="AL52" s="1"/>
  <c r="AA52"/>
  <c r="AK46"/>
  <c r="AL46" s="1"/>
  <c r="AA46"/>
  <c r="AK44"/>
  <c r="AL44" s="1"/>
  <c r="AA44"/>
  <c r="AK24"/>
  <c r="AA24"/>
  <c r="AK22"/>
  <c r="AA22"/>
  <c r="AK20"/>
  <c r="AA20"/>
  <c r="AK18"/>
  <c r="AA18"/>
  <c r="AK12"/>
  <c r="AA12"/>
  <c r="AK10"/>
  <c r="AA10"/>
  <c r="AK8"/>
  <c r="AA8"/>
  <c r="AK6"/>
  <c r="AA6"/>
  <c r="AK80"/>
  <c r="AA80"/>
  <c r="AK78"/>
  <c r="AA78"/>
  <c r="AK81"/>
  <c r="AA81"/>
  <c r="AK79"/>
  <c r="AA79"/>
  <c r="AK85"/>
  <c r="AN85" s="1"/>
  <c r="AA85"/>
  <c r="AK83"/>
  <c r="AN83" s="1"/>
  <c r="AA83"/>
  <c r="AK39"/>
  <c r="AM39" s="1"/>
  <c r="AA39"/>
  <c r="AK37"/>
  <c r="AM37" s="1"/>
  <c r="AA37"/>
  <c r="AK51"/>
  <c r="AM51" s="1"/>
  <c r="AA51"/>
  <c r="AK49"/>
  <c r="AM49" s="1"/>
  <c r="AA49"/>
  <c r="AK95"/>
  <c r="AL95" s="1"/>
  <c r="AA95"/>
  <c r="AK77"/>
  <c r="AL77" s="1"/>
  <c r="AA77"/>
  <c r="AK93"/>
  <c r="AL93" s="1"/>
  <c r="AA93"/>
  <c r="AK91"/>
  <c r="AL91" s="1"/>
  <c r="AA91"/>
  <c r="AK89"/>
  <c r="AL89" s="1"/>
  <c r="AA89"/>
  <c r="AK87"/>
  <c r="AL87" s="1"/>
  <c r="AA87"/>
  <c r="AK67"/>
  <c r="AL67" s="1"/>
  <c r="AA67"/>
  <c r="AK65"/>
  <c r="AL65" s="1"/>
  <c r="AA65"/>
  <c r="AK63"/>
  <c r="AL63" s="1"/>
  <c r="AA63"/>
  <c r="AK61"/>
  <c r="AL61" s="1"/>
  <c r="AA61"/>
  <c r="AK59"/>
  <c r="AL59" s="1"/>
  <c r="AA59"/>
  <c r="AK57"/>
  <c r="AL57" s="1"/>
  <c r="AA57"/>
  <c r="AK43"/>
  <c r="AL43" s="1"/>
  <c r="AA43"/>
  <c r="AK41"/>
  <c r="AL41" s="1"/>
  <c r="AA41"/>
  <c r="AK17"/>
  <c r="AA17"/>
  <c r="AK15"/>
  <c r="AA15"/>
  <c r="AK5"/>
  <c r="AA5"/>
  <c r="AK3"/>
  <c r="AA3"/>
  <c r="AK55"/>
  <c r="AL55" s="1"/>
  <c r="AA55"/>
  <c r="AK53"/>
  <c r="AL53" s="1"/>
  <c r="AA53"/>
  <c r="AK47"/>
  <c r="AL47" s="1"/>
  <c r="AA47"/>
  <c r="AK45"/>
  <c r="AL45" s="1"/>
  <c r="AA45"/>
  <c r="AK25"/>
  <c r="AA25"/>
  <c r="AK23"/>
  <c r="AA23"/>
  <c r="AK21"/>
  <c r="AA21"/>
  <c r="AK19"/>
  <c r="AA19"/>
  <c r="AK13"/>
  <c r="AA13"/>
  <c r="AK11"/>
  <c r="AA11"/>
  <c r="AK9"/>
  <c r="AA9"/>
  <c r="AK7"/>
  <c r="AA7"/>
  <c r="L6" i="23"/>
  <c r="K6"/>
  <c r="H6"/>
  <c r="G6"/>
  <c r="C6"/>
  <c r="CP110" i="37"/>
  <c r="CK110"/>
  <c r="CJ110"/>
  <c r="AM7" i="31" l="1"/>
  <c r="AL7"/>
  <c r="AM9"/>
  <c r="AL9"/>
  <c r="AM11"/>
  <c r="AL11"/>
  <c r="AM13"/>
  <c r="AL13"/>
  <c r="AM19"/>
  <c r="AL19"/>
  <c r="AM21"/>
  <c r="AL21"/>
  <c r="AM23"/>
  <c r="AL23"/>
  <c r="AM25"/>
  <c r="AL25"/>
  <c r="AM3"/>
  <c r="AL3"/>
  <c r="AM5"/>
  <c r="AL5"/>
  <c r="AM15"/>
  <c r="AL15"/>
  <c r="AM17"/>
  <c r="AL17"/>
  <c r="AM79"/>
  <c r="AL79"/>
  <c r="AM81"/>
  <c r="AL81"/>
  <c r="AL78"/>
  <c r="AM78"/>
  <c r="AL80"/>
  <c r="AM80"/>
  <c r="AL6"/>
  <c r="AM6"/>
  <c r="AL8"/>
  <c r="AM8"/>
  <c r="AL10"/>
  <c r="AM10"/>
  <c r="AL12"/>
  <c r="AM12"/>
  <c r="AL18"/>
  <c r="AM18"/>
  <c r="AL20"/>
  <c r="AM20"/>
  <c r="AL22"/>
  <c r="AM22"/>
  <c r="AL24"/>
  <c r="AM24"/>
  <c r="AM2"/>
  <c r="AL4"/>
  <c r="AM4"/>
  <c r="AL14"/>
  <c r="AM14"/>
  <c r="AL16"/>
  <c r="AM16"/>
  <c r="AL32"/>
  <c r="AM32"/>
  <c r="AP79"/>
  <c r="AR79" s="1"/>
  <c r="AP81"/>
  <c r="AR81" s="1"/>
  <c r="AP78"/>
  <c r="AR78" s="1"/>
  <c r="AP80"/>
  <c r="AR80" s="1"/>
  <c r="AP87"/>
  <c r="AR87" s="1"/>
  <c r="AP77"/>
  <c r="AR77" s="1"/>
  <c r="AP83"/>
  <c r="AR83" s="1"/>
  <c r="AP85"/>
  <c r="AR85" s="1"/>
  <c r="AP86"/>
  <c r="AR86" s="1"/>
  <c r="AP88"/>
  <c r="AR88" s="1"/>
  <c r="AP76"/>
  <c r="AR76" s="1"/>
  <c r="AP82"/>
  <c r="AR82" s="1"/>
  <c r="AP84"/>
  <c r="AR84" s="1"/>
  <c r="AP7"/>
  <c r="AR7" s="1"/>
  <c r="AO7"/>
  <c r="AQ7" s="1"/>
  <c r="AP9"/>
  <c r="AR9" s="1"/>
  <c r="AO9"/>
  <c r="AQ9" s="1"/>
  <c r="AP11"/>
  <c r="AR11" s="1"/>
  <c r="AO11"/>
  <c r="AQ11" s="1"/>
  <c r="AP13"/>
  <c r="AR13" s="1"/>
  <c r="AO13"/>
  <c r="AQ13" s="1"/>
  <c r="AP19"/>
  <c r="AR19" s="1"/>
  <c r="AO19"/>
  <c r="AQ19" s="1"/>
  <c r="AP21"/>
  <c r="AR21" s="1"/>
  <c r="AO21"/>
  <c r="AQ21" s="1"/>
  <c r="AP23"/>
  <c r="AR23" s="1"/>
  <c r="AO23"/>
  <c r="AQ23" s="1"/>
  <c r="AP25"/>
  <c r="AR25" s="1"/>
  <c r="AO25"/>
  <c r="AQ25" s="1"/>
  <c r="AP45"/>
  <c r="AR45" s="1"/>
  <c r="AO45"/>
  <c r="AQ45" s="1"/>
  <c r="AP47"/>
  <c r="AR47" s="1"/>
  <c r="AO47"/>
  <c r="AQ47" s="1"/>
  <c r="AP53"/>
  <c r="AR53" s="1"/>
  <c r="AO53"/>
  <c r="AQ53" s="1"/>
  <c r="AP55"/>
  <c r="AR55" s="1"/>
  <c r="AO55"/>
  <c r="AQ55" s="1"/>
  <c r="AP3"/>
  <c r="AR3" s="1"/>
  <c r="AO3"/>
  <c r="AQ3" s="1"/>
  <c r="AP5"/>
  <c r="AR5" s="1"/>
  <c r="AO5"/>
  <c r="AQ5" s="1"/>
  <c r="AP15"/>
  <c r="AR15" s="1"/>
  <c r="AO15"/>
  <c r="AQ15" s="1"/>
  <c r="AP17"/>
  <c r="AR17" s="1"/>
  <c r="AO17"/>
  <c r="AQ17" s="1"/>
  <c r="AP41"/>
  <c r="AR41" s="1"/>
  <c r="AO41"/>
  <c r="AQ41" s="1"/>
  <c r="AP43"/>
  <c r="AR43" s="1"/>
  <c r="AO43"/>
  <c r="AQ43" s="1"/>
  <c r="AP57"/>
  <c r="AR57" s="1"/>
  <c r="AO57"/>
  <c r="AQ57" s="1"/>
  <c r="AP59"/>
  <c r="AR59" s="1"/>
  <c r="AO59"/>
  <c r="AQ59" s="1"/>
  <c r="AP61"/>
  <c r="AR61" s="1"/>
  <c r="AO61"/>
  <c r="AQ61" s="1"/>
  <c r="AP63"/>
  <c r="AR63" s="1"/>
  <c r="AO63"/>
  <c r="AQ63" s="1"/>
  <c r="AP65"/>
  <c r="AR65" s="1"/>
  <c r="AO65"/>
  <c r="AQ65" s="1"/>
  <c r="AP67"/>
  <c r="AR67" s="1"/>
  <c r="AO67"/>
  <c r="AQ67" s="1"/>
  <c r="AO87"/>
  <c r="AQ87" s="1"/>
  <c r="AP89"/>
  <c r="AR89" s="1"/>
  <c r="AO89"/>
  <c r="AQ89" s="1"/>
  <c r="AP91"/>
  <c r="AR91" s="1"/>
  <c r="AO91"/>
  <c r="AQ91" s="1"/>
  <c r="AP93"/>
  <c r="AR93" s="1"/>
  <c r="AO93"/>
  <c r="AQ93" s="1"/>
  <c r="AO77"/>
  <c r="AQ77" s="1"/>
  <c r="AP95"/>
  <c r="AR95" s="1"/>
  <c r="AO95"/>
  <c r="AQ95" s="1"/>
  <c r="AP49"/>
  <c r="AR49" s="1"/>
  <c r="AO49"/>
  <c r="AQ49" s="1"/>
  <c r="AP51"/>
  <c r="AR51" s="1"/>
  <c r="AO51"/>
  <c r="AQ51" s="1"/>
  <c r="AP37"/>
  <c r="AR37" s="1"/>
  <c r="AO37"/>
  <c r="AQ37" s="1"/>
  <c r="AP39"/>
  <c r="AR39" s="1"/>
  <c r="AO39"/>
  <c r="AQ39" s="1"/>
  <c r="AO83"/>
  <c r="AQ83" s="1"/>
  <c r="AO85"/>
  <c r="AQ85" s="1"/>
  <c r="AO79"/>
  <c r="AQ79" s="1"/>
  <c r="AO81"/>
  <c r="AQ81" s="1"/>
  <c r="AO78"/>
  <c r="AQ78" s="1"/>
  <c r="AO80"/>
  <c r="AQ80" s="1"/>
  <c r="AP6"/>
  <c r="AR6" s="1"/>
  <c r="AO6"/>
  <c r="AQ6" s="1"/>
  <c r="AP8"/>
  <c r="AR8" s="1"/>
  <c r="AO8"/>
  <c r="AQ8" s="1"/>
  <c r="AP10"/>
  <c r="AO10"/>
  <c r="AP12"/>
  <c r="AR12" s="1"/>
  <c r="AO12"/>
  <c r="AQ12" s="1"/>
  <c r="AP18"/>
  <c r="AR18" s="1"/>
  <c r="AO18"/>
  <c r="AQ18" s="1"/>
  <c r="AP20"/>
  <c r="AR20" s="1"/>
  <c r="AO20"/>
  <c r="AQ20" s="1"/>
  <c r="AP22"/>
  <c r="AR22" s="1"/>
  <c r="AO22"/>
  <c r="AQ22" s="1"/>
  <c r="AP24"/>
  <c r="AR24" s="1"/>
  <c r="AO24"/>
  <c r="AQ24" s="1"/>
  <c r="AP44"/>
  <c r="AR44" s="1"/>
  <c r="AO44"/>
  <c r="AQ44" s="1"/>
  <c r="AP46"/>
  <c r="AR46" s="1"/>
  <c r="AO46"/>
  <c r="AQ46" s="1"/>
  <c r="AP52"/>
  <c r="AR52" s="1"/>
  <c r="AO52"/>
  <c r="AQ52" s="1"/>
  <c r="AP54"/>
  <c r="AR54" s="1"/>
  <c r="AO54"/>
  <c r="AQ54" s="1"/>
  <c r="AP2"/>
  <c r="AO2"/>
  <c r="AP4"/>
  <c r="AR4" s="1"/>
  <c r="AO4"/>
  <c r="AQ4" s="1"/>
  <c r="AP14"/>
  <c r="AR14" s="1"/>
  <c r="AO14"/>
  <c r="AQ14" s="1"/>
  <c r="AP16"/>
  <c r="AR16" s="1"/>
  <c r="AO16"/>
  <c r="AQ16" s="1"/>
  <c r="AP32"/>
  <c r="AR32" s="1"/>
  <c r="AO32"/>
  <c r="AQ32" s="1"/>
  <c r="AP40"/>
  <c r="AR40" s="1"/>
  <c r="AO40"/>
  <c r="AQ40" s="1"/>
  <c r="AP42"/>
  <c r="AR42" s="1"/>
  <c r="AO42"/>
  <c r="AQ42" s="1"/>
  <c r="AP56"/>
  <c r="AR56" s="1"/>
  <c r="AO56"/>
  <c r="AQ56" s="1"/>
  <c r="AP58"/>
  <c r="AR58" s="1"/>
  <c r="AO58"/>
  <c r="AQ58" s="1"/>
  <c r="AP60"/>
  <c r="AR60" s="1"/>
  <c r="AO60"/>
  <c r="AQ60" s="1"/>
  <c r="AP62"/>
  <c r="AR62" s="1"/>
  <c r="AO62"/>
  <c r="AQ62" s="1"/>
  <c r="AP64"/>
  <c r="AR64" s="1"/>
  <c r="AO64"/>
  <c r="AQ64" s="1"/>
  <c r="AP66"/>
  <c r="AR66" s="1"/>
  <c r="AO66"/>
  <c r="AQ66" s="1"/>
  <c r="AO86"/>
  <c r="AQ86" s="1"/>
  <c r="AO88"/>
  <c r="AQ88" s="1"/>
  <c r="AP90"/>
  <c r="AR90" s="1"/>
  <c r="AO90"/>
  <c r="AQ90" s="1"/>
  <c r="AP92"/>
  <c r="AR92" s="1"/>
  <c r="AO92"/>
  <c r="AQ92" s="1"/>
  <c r="AO76"/>
  <c r="AQ76" s="1"/>
  <c r="AP94"/>
  <c r="AR94" s="1"/>
  <c r="AO94"/>
  <c r="AQ94" s="1"/>
  <c r="AP48"/>
  <c r="AR48" s="1"/>
  <c r="AO48"/>
  <c r="AQ48" s="1"/>
  <c r="AP50"/>
  <c r="AR50" s="1"/>
  <c r="AO50"/>
  <c r="AQ50" s="1"/>
  <c r="AP36"/>
  <c r="AR36" s="1"/>
  <c r="AO36"/>
  <c r="AQ36" s="1"/>
  <c r="AP38"/>
  <c r="AR38" s="1"/>
  <c r="AO38"/>
  <c r="AQ38" s="1"/>
  <c r="AO82"/>
  <c r="AQ82" s="1"/>
  <c r="AO84"/>
  <c r="AQ84" s="1"/>
  <c r="AC71"/>
  <c r="AE71"/>
  <c r="AG71"/>
  <c r="AD71"/>
  <c r="AF71"/>
  <c r="AH71"/>
  <c r="AC73"/>
  <c r="AE73"/>
  <c r="AG73"/>
  <c r="AD73"/>
  <c r="AF73"/>
  <c r="AH73"/>
  <c r="AC75"/>
  <c r="AE75"/>
  <c r="AG75"/>
  <c r="AD75"/>
  <c r="AF75"/>
  <c r="AH75"/>
  <c r="AC26"/>
  <c r="AE26"/>
  <c r="AG26"/>
  <c r="AD26"/>
  <c r="AF26"/>
  <c r="AH26"/>
  <c r="AC69"/>
  <c r="AE69"/>
  <c r="AG69"/>
  <c r="AD69"/>
  <c r="AF69"/>
  <c r="AH69"/>
  <c r="AC27"/>
  <c r="AE27"/>
  <c r="AG27"/>
  <c r="AD27"/>
  <c r="AF27"/>
  <c r="AH27"/>
  <c r="AC29"/>
  <c r="AE29"/>
  <c r="AG29"/>
  <c r="AD29"/>
  <c r="AF29"/>
  <c r="AH29"/>
  <c r="AC31"/>
  <c r="AE31"/>
  <c r="AG31"/>
  <c r="AD31"/>
  <c r="AF31"/>
  <c r="AH31"/>
  <c r="AC68"/>
  <c r="AE68"/>
  <c r="AG68"/>
  <c r="AD68"/>
  <c r="AF68"/>
  <c r="AH68"/>
  <c r="AC70"/>
  <c r="AE70"/>
  <c r="AG70"/>
  <c r="AD70"/>
  <c r="AF70"/>
  <c r="AH70"/>
  <c r="AC72"/>
  <c r="AE72"/>
  <c r="AG72"/>
  <c r="AD72"/>
  <c r="AF72"/>
  <c r="AH72"/>
  <c r="AC74"/>
  <c r="AE74"/>
  <c r="AG74"/>
  <c r="AD74"/>
  <c r="AF74"/>
  <c r="AH74"/>
  <c r="AC28"/>
  <c r="AE28"/>
  <c r="AG28"/>
  <c r="AD28"/>
  <c r="AF28"/>
  <c r="AH28"/>
  <c r="AC30"/>
  <c r="AE30"/>
  <c r="AG30"/>
  <c r="AD30"/>
  <c r="AF30"/>
  <c r="AH30"/>
  <c r="CR110" i="37"/>
  <c r="AR2" i="31" l="1"/>
  <c r="AR10"/>
  <c r="AQ2"/>
  <c r="AQ10"/>
  <c r="CV50" i="37"/>
  <c r="CW50"/>
  <c r="CW48"/>
  <c r="CV48"/>
  <c r="CV45"/>
  <c r="CW45"/>
  <c r="CW43"/>
  <c r="CV43"/>
  <c r="G20"/>
  <c r="G24"/>
  <c r="G28"/>
  <c r="G12"/>
  <c r="G22"/>
  <c r="G26"/>
  <c r="G18"/>
  <c r="G14"/>
  <c r="G23"/>
  <c r="G27"/>
  <c r="B7"/>
  <c r="Z1" i="30"/>
  <c r="G10" i="37" l="1"/>
  <c r="CI110"/>
  <c r="D6" i="23" s="1"/>
  <c r="AR32" i="37" l="1"/>
  <c r="AV1" i="35" l="1"/>
  <c r="C69" i="49" l="1"/>
  <c r="F69" s="1"/>
  <c r="H71" s="1"/>
  <c r="A69"/>
  <c r="F124"/>
  <c r="H126" s="1"/>
  <c r="I110" a="1"/>
  <c r="I110" s="1"/>
  <c r="H110" a="1"/>
  <c r="H110" s="1"/>
  <c r="G110" a="1"/>
  <c r="G110" s="1"/>
  <c r="B110" a="1"/>
  <c r="B110" s="1"/>
  <c r="A110" a="1"/>
  <c r="A110" s="1"/>
  <c r="I109" a="1"/>
  <c r="I109" s="1"/>
  <c r="H109" a="1"/>
  <c r="H109" s="1"/>
  <c r="G109" a="1"/>
  <c r="G109" s="1"/>
  <c r="B109" a="1"/>
  <c r="B109" s="1"/>
  <c r="A109" a="1"/>
  <c r="A109" s="1"/>
  <c r="I108" a="1"/>
  <c r="I108" s="1"/>
  <c r="H108" a="1"/>
  <c r="H108" s="1"/>
  <c r="G108" a="1"/>
  <c r="G108" s="1"/>
  <c r="B108" a="1"/>
  <c r="B108" s="1"/>
  <c r="A108" a="1"/>
  <c r="A108" s="1"/>
  <c r="I107" a="1"/>
  <c r="I107" s="1"/>
  <c r="H107" a="1"/>
  <c r="H107" s="1"/>
  <c r="G107" a="1"/>
  <c r="G107" s="1"/>
  <c r="B107" a="1"/>
  <c r="B107" s="1"/>
  <c r="A107" a="1"/>
  <c r="A107" s="1"/>
  <c r="I106" a="1"/>
  <c r="I106" s="1"/>
  <c r="H106" a="1"/>
  <c r="H106" s="1"/>
  <c r="G106" a="1"/>
  <c r="G106" s="1"/>
  <c r="B106" a="1"/>
  <c r="B106" s="1"/>
  <c r="A106" a="1"/>
  <c r="A106" s="1"/>
  <c r="I105" a="1"/>
  <c r="I105" s="1"/>
  <c r="H105" a="1"/>
  <c r="H105" s="1"/>
  <c r="G105" a="1"/>
  <c r="G105" s="1"/>
  <c r="B105" a="1"/>
  <c r="B105" s="1"/>
  <c r="A105" a="1"/>
  <c r="A105" s="1"/>
  <c r="I104" a="1"/>
  <c r="I104" s="1"/>
  <c r="H104" a="1"/>
  <c r="H104" s="1"/>
  <c r="G104" a="1"/>
  <c r="G104" s="1"/>
  <c r="B104" a="1"/>
  <c r="B104" s="1"/>
  <c r="A104" a="1"/>
  <c r="A104" s="1"/>
  <c r="I103" a="1"/>
  <c r="I103" s="1"/>
  <c r="H103" a="1"/>
  <c r="H103" s="1"/>
  <c r="G103" a="1"/>
  <c r="G103" s="1"/>
  <c r="A103" a="1"/>
  <c r="A103" s="1"/>
  <c r="F103" s="1"/>
  <c r="I102" a="1"/>
  <c r="I102" s="1"/>
  <c r="H102" a="1"/>
  <c r="H102" s="1"/>
  <c r="G102" a="1"/>
  <c r="G102" s="1"/>
  <c r="B102" a="1"/>
  <c r="B102" s="1"/>
  <c r="A102" a="1"/>
  <c r="A102" s="1"/>
  <c r="I101" a="1"/>
  <c r="I101" s="1"/>
  <c r="H101" a="1"/>
  <c r="H101" s="1"/>
  <c r="G101" a="1"/>
  <c r="G101" s="1"/>
  <c r="B101" a="1"/>
  <c r="B101" s="1"/>
  <c r="A101" a="1"/>
  <c r="A101" s="1"/>
  <c r="F101" s="1"/>
  <c r="I100" a="1"/>
  <c r="I100" s="1"/>
  <c r="H100" a="1"/>
  <c r="H100" s="1"/>
  <c r="G100" a="1"/>
  <c r="G100" s="1"/>
  <c r="B100" a="1"/>
  <c r="B100" s="1"/>
  <c r="A100" a="1"/>
  <c r="A100" s="1"/>
  <c r="I99" a="1"/>
  <c r="I99" s="1"/>
  <c r="H99" a="1"/>
  <c r="H99" s="1"/>
  <c r="G99" a="1"/>
  <c r="G99" s="1"/>
  <c r="B99" a="1"/>
  <c r="B99" s="1"/>
  <c r="A99" a="1"/>
  <c r="A99" s="1"/>
  <c r="I98" a="1"/>
  <c r="I98" s="1"/>
  <c r="H98" a="1"/>
  <c r="H98" s="1"/>
  <c r="G98" a="1"/>
  <c r="G98" s="1"/>
  <c r="B98" a="1"/>
  <c r="B98" s="1"/>
  <c r="A98" a="1"/>
  <c r="A98" s="1"/>
  <c r="I97" a="1"/>
  <c r="I97" s="1"/>
  <c r="H97" a="1"/>
  <c r="H97" s="1"/>
  <c r="G97" a="1"/>
  <c r="G97" s="1"/>
  <c r="B97" a="1"/>
  <c r="B97" s="1"/>
  <c r="A97" a="1"/>
  <c r="A97" s="1"/>
  <c r="I96" a="1"/>
  <c r="I96" s="1"/>
  <c r="H96" a="1"/>
  <c r="H96" s="1"/>
  <c r="G96" a="1"/>
  <c r="G96" s="1"/>
  <c r="B96" a="1"/>
  <c r="B96" s="1"/>
  <c r="A96" a="1"/>
  <c r="A96" s="1"/>
  <c r="I95" a="1"/>
  <c r="I95" s="1"/>
  <c r="H95" a="1"/>
  <c r="H95" s="1"/>
  <c r="G95" a="1"/>
  <c r="G95" s="1"/>
  <c r="B95" a="1"/>
  <c r="B95" s="1"/>
  <c r="A95" a="1"/>
  <c r="A95" s="1"/>
  <c r="I94" a="1"/>
  <c r="I94" s="1"/>
  <c r="H94" a="1"/>
  <c r="H94" s="1"/>
  <c r="G94" a="1"/>
  <c r="G94" s="1"/>
  <c r="B94" a="1"/>
  <c r="B94" s="1"/>
  <c r="A94" a="1"/>
  <c r="A94" s="1"/>
  <c r="I93" a="1"/>
  <c r="I93" s="1"/>
  <c r="H93" a="1"/>
  <c r="H93" s="1"/>
  <c r="G93" a="1"/>
  <c r="G93" s="1"/>
  <c r="B93" a="1"/>
  <c r="B93" s="1"/>
  <c r="A93" a="1"/>
  <c r="A93" s="1"/>
  <c r="I92" a="1"/>
  <c r="I92" s="1"/>
  <c r="H92" a="1"/>
  <c r="H92" s="1"/>
  <c r="G92" a="1"/>
  <c r="G92" s="1"/>
  <c r="B92" a="1"/>
  <c r="B92" s="1"/>
  <c r="A92" a="1"/>
  <c r="A92" s="1"/>
  <c r="I91" a="1"/>
  <c r="I91" s="1"/>
  <c r="H91" a="1"/>
  <c r="H91" s="1"/>
  <c r="G91" a="1"/>
  <c r="G91" s="1"/>
  <c r="B91" a="1"/>
  <c r="B91" s="1"/>
  <c r="A91" a="1"/>
  <c r="A91" s="1"/>
  <c r="F91" s="1"/>
  <c r="I90" a="1"/>
  <c r="I90" s="1"/>
  <c r="H90" a="1"/>
  <c r="H90" s="1"/>
  <c r="G90" a="1"/>
  <c r="G90" s="1"/>
  <c r="B90" a="1"/>
  <c r="B90" s="1"/>
  <c r="A90" a="1"/>
  <c r="A90" s="1"/>
  <c r="I89" a="1"/>
  <c r="I89" s="1"/>
  <c r="H89" a="1"/>
  <c r="H89" s="1"/>
  <c r="G89" a="1"/>
  <c r="G89" s="1"/>
  <c r="B89" a="1"/>
  <c r="B89" s="1"/>
  <c r="A89" a="1"/>
  <c r="A89" s="1"/>
  <c r="F89" s="1"/>
  <c r="I88" a="1"/>
  <c r="I88" s="1"/>
  <c r="H88" a="1"/>
  <c r="H88" s="1"/>
  <c r="G88" a="1"/>
  <c r="G88" s="1"/>
  <c r="B88" a="1"/>
  <c r="B88" s="1"/>
  <c r="A88" a="1"/>
  <c r="A88" s="1"/>
  <c r="I87" a="1"/>
  <c r="I87" s="1"/>
  <c r="H87" a="1"/>
  <c r="H87" s="1"/>
  <c r="G87" a="1"/>
  <c r="G87" s="1"/>
  <c r="B87" a="1"/>
  <c r="B87" s="1"/>
  <c r="A87" a="1"/>
  <c r="A87" s="1"/>
  <c r="I86" a="1"/>
  <c r="I86" s="1"/>
  <c r="H86" a="1"/>
  <c r="H86" s="1"/>
  <c r="G86" a="1"/>
  <c r="G86" s="1"/>
  <c r="B86" a="1"/>
  <c r="B86" s="1"/>
  <c r="A86" a="1"/>
  <c r="A86" s="1"/>
  <c r="I85" a="1"/>
  <c r="I85" s="1"/>
  <c r="H85" a="1"/>
  <c r="H85" s="1"/>
  <c r="G85" a="1"/>
  <c r="G85" s="1"/>
  <c r="B85" a="1"/>
  <c r="B85" s="1"/>
  <c r="A85" a="1"/>
  <c r="A85" s="1"/>
  <c r="J85" s="1"/>
  <c r="I84" a="1"/>
  <c r="I84" s="1"/>
  <c r="H84" a="1"/>
  <c r="H84" s="1"/>
  <c r="G84" a="1"/>
  <c r="G84" s="1"/>
  <c r="B84" a="1"/>
  <c r="B84" s="1"/>
  <c r="A84" a="1"/>
  <c r="A84" s="1"/>
  <c r="I83" a="1"/>
  <c r="I83" s="1"/>
  <c r="H83" a="1"/>
  <c r="H83" s="1"/>
  <c r="G83" a="1"/>
  <c r="G83" s="1"/>
  <c r="B83" a="1"/>
  <c r="B83" s="1"/>
  <c r="A83" a="1"/>
  <c r="A83" s="1"/>
  <c r="I82" a="1"/>
  <c r="I82" s="1"/>
  <c r="H82" a="1"/>
  <c r="H82" s="1"/>
  <c r="G82" a="1"/>
  <c r="G82" s="1"/>
  <c r="B82" a="1"/>
  <c r="B82" s="1"/>
  <c r="A82" a="1"/>
  <c r="A82" s="1"/>
  <c r="J82" s="1"/>
  <c r="I81" a="1"/>
  <c r="I81" s="1"/>
  <c r="H81" a="1"/>
  <c r="H81" s="1"/>
  <c r="G81" a="1"/>
  <c r="G81" s="1"/>
  <c r="B81" a="1"/>
  <c r="B81" s="1"/>
  <c r="A81" a="1"/>
  <c r="A81" s="1"/>
  <c r="I80" a="1"/>
  <c r="I80" s="1"/>
  <c r="H80" a="1"/>
  <c r="H80" s="1"/>
  <c r="G80" a="1"/>
  <c r="G80" s="1"/>
  <c r="B80" a="1"/>
  <c r="B80" s="1"/>
  <c r="A80" a="1"/>
  <c r="A80" s="1"/>
  <c r="I79" a="1"/>
  <c r="I79" s="1"/>
  <c r="H79" a="1"/>
  <c r="H79" s="1"/>
  <c r="G79" a="1"/>
  <c r="G79" s="1"/>
  <c r="B79" a="1"/>
  <c r="B79" s="1"/>
  <c r="A79" a="1"/>
  <c r="A79" s="1"/>
  <c r="F79" s="1"/>
  <c r="I78" a="1"/>
  <c r="I78" s="1"/>
  <c r="H78" a="1"/>
  <c r="H78" s="1"/>
  <c r="G78" a="1"/>
  <c r="G78" s="1"/>
  <c r="B78" a="1"/>
  <c r="B78" s="1"/>
  <c r="A78" a="1"/>
  <c r="A78" s="1"/>
  <c r="I77" a="1"/>
  <c r="I77" s="1"/>
  <c r="H77" a="1"/>
  <c r="H77" s="1"/>
  <c r="G77" a="1"/>
  <c r="G77" s="1"/>
  <c r="B77" a="1"/>
  <c r="B77" s="1"/>
  <c r="A77" a="1"/>
  <c r="A77" s="1"/>
  <c r="F77" s="1"/>
  <c r="I76" a="1"/>
  <c r="I76" s="1"/>
  <c r="H76" a="1"/>
  <c r="H76" s="1"/>
  <c r="G76" a="1"/>
  <c r="G76" s="1"/>
  <c r="B76" a="1"/>
  <c r="B76" s="1"/>
  <c r="A76" a="1"/>
  <c r="A76" s="1"/>
  <c r="I75" a="1"/>
  <c r="I75" s="1"/>
  <c r="H75" a="1"/>
  <c r="H75" s="1"/>
  <c r="G75" a="1"/>
  <c r="G75" s="1"/>
  <c r="B75" a="1"/>
  <c r="B75" s="1"/>
  <c r="A75" a="1"/>
  <c r="A75" s="1"/>
  <c r="H55" a="1"/>
  <c r="H55" s="1"/>
  <c r="G55" a="1"/>
  <c r="G55" s="1"/>
  <c r="B55" a="1"/>
  <c r="B55" s="1"/>
  <c r="A55" a="1"/>
  <c r="A55" s="1"/>
  <c r="H54" a="1"/>
  <c r="H54" s="1"/>
  <c r="G54" a="1"/>
  <c r="G54" s="1"/>
  <c r="B54" a="1"/>
  <c r="B54" s="1"/>
  <c r="A54" a="1"/>
  <c r="A54" s="1"/>
  <c r="H53" a="1"/>
  <c r="H53" s="1"/>
  <c r="G53" a="1"/>
  <c r="G53" s="1"/>
  <c r="B53" a="1"/>
  <c r="B53" s="1"/>
  <c r="A53" a="1"/>
  <c r="A53" s="1"/>
  <c r="H52" a="1"/>
  <c r="H52" s="1"/>
  <c r="G52" a="1"/>
  <c r="G52" s="1"/>
  <c r="B52" a="1"/>
  <c r="B52" s="1"/>
  <c r="A52" a="1"/>
  <c r="A52" s="1"/>
  <c r="H51" a="1"/>
  <c r="H51" s="1"/>
  <c r="G51" a="1"/>
  <c r="G51" s="1"/>
  <c r="B51" a="1"/>
  <c r="B51" s="1"/>
  <c r="A51" a="1"/>
  <c r="A51" s="1"/>
  <c r="H50" a="1"/>
  <c r="H50" s="1"/>
  <c r="G50" a="1"/>
  <c r="G50" s="1"/>
  <c r="B50" a="1"/>
  <c r="B50" s="1"/>
  <c r="A50" a="1"/>
  <c r="A50" s="1"/>
  <c r="H49" a="1"/>
  <c r="H49" s="1"/>
  <c r="G49" a="1"/>
  <c r="G49" s="1"/>
  <c r="B49" a="1"/>
  <c r="B49" s="1"/>
  <c r="A49" a="1"/>
  <c r="A49" s="1"/>
  <c r="H48" a="1"/>
  <c r="H48" s="1"/>
  <c r="G48" a="1"/>
  <c r="G48" s="1"/>
  <c r="B48" a="1"/>
  <c r="B48" s="1"/>
  <c r="A48" a="1"/>
  <c r="A48" s="1"/>
  <c r="H47" a="1"/>
  <c r="H47" s="1"/>
  <c r="G47" a="1"/>
  <c r="G47" s="1"/>
  <c r="B47" a="1"/>
  <c r="B47" s="1"/>
  <c r="A47" a="1"/>
  <c r="A47" s="1"/>
  <c r="H46" a="1"/>
  <c r="H46" s="1"/>
  <c r="G46" a="1"/>
  <c r="G46" s="1"/>
  <c r="B46" a="1"/>
  <c r="B46" s="1"/>
  <c r="A46" a="1"/>
  <c r="A46" s="1"/>
  <c r="K46" s="1"/>
  <c r="H39" a="1"/>
  <c r="H39" s="1"/>
  <c r="G39" a="1"/>
  <c r="G39" s="1"/>
  <c r="B39" a="1"/>
  <c r="B39" s="1"/>
  <c r="A39" a="1"/>
  <c r="A39" s="1"/>
  <c r="H38" a="1"/>
  <c r="H38" s="1"/>
  <c r="G38" a="1"/>
  <c r="G38" s="1"/>
  <c r="B38" a="1"/>
  <c r="B38" s="1"/>
  <c r="A38" a="1"/>
  <c r="A38" s="1"/>
  <c r="H37" a="1"/>
  <c r="H37" s="1"/>
  <c r="G37" a="1"/>
  <c r="G37" s="1"/>
  <c r="B37" a="1"/>
  <c r="B37" s="1"/>
  <c r="A37" a="1"/>
  <c r="A37" s="1"/>
  <c r="H36" a="1"/>
  <c r="H36" s="1"/>
  <c r="G36" a="1"/>
  <c r="G36" s="1"/>
  <c r="B36" a="1"/>
  <c r="B36" s="1"/>
  <c r="A36" a="1"/>
  <c r="A36" s="1"/>
  <c r="H35" a="1"/>
  <c r="H35" s="1"/>
  <c r="G35" a="1"/>
  <c r="G35" s="1"/>
  <c r="B35" a="1"/>
  <c r="B35" s="1"/>
  <c r="A35" a="1"/>
  <c r="A35" s="1"/>
  <c r="H34" a="1"/>
  <c r="H34" s="1"/>
  <c r="G34" a="1"/>
  <c r="G34" s="1"/>
  <c r="B34" a="1"/>
  <c r="B34" s="1"/>
  <c r="A34" a="1"/>
  <c r="A34" s="1"/>
  <c r="H33" a="1"/>
  <c r="H33" s="1"/>
  <c r="G33" a="1"/>
  <c r="G33" s="1"/>
  <c r="B33" a="1"/>
  <c r="B33" s="1"/>
  <c r="A33" a="1"/>
  <c r="A33" s="1"/>
  <c r="H32" a="1"/>
  <c r="H32" s="1"/>
  <c r="G32" a="1"/>
  <c r="G32" s="1"/>
  <c r="B32" a="1"/>
  <c r="B32" s="1"/>
  <c r="A32" a="1"/>
  <c r="A32" s="1"/>
  <c r="H31" a="1"/>
  <c r="H31" s="1"/>
  <c r="G31" a="1"/>
  <c r="G31" s="1"/>
  <c r="B31" a="1"/>
  <c r="B31" s="1"/>
  <c r="A31" a="1"/>
  <c r="A31" s="1"/>
  <c r="H30" a="1"/>
  <c r="H30" s="1"/>
  <c r="G30" a="1"/>
  <c r="G30" s="1"/>
  <c r="B30" a="1"/>
  <c r="B30" s="1"/>
  <c r="A30" a="1"/>
  <c r="A30" s="1"/>
  <c r="H29" a="1"/>
  <c r="H29" s="1"/>
  <c r="G29" a="1"/>
  <c r="G29" s="1"/>
  <c r="B29" a="1"/>
  <c r="B29" s="1"/>
  <c r="A29" a="1"/>
  <c r="A29" s="1"/>
  <c r="H28" a="1"/>
  <c r="H28" s="1"/>
  <c r="G28" a="1"/>
  <c r="G28" s="1"/>
  <c r="B28" a="1"/>
  <c r="B28" s="1"/>
  <c r="A28" a="1"/>
  <c r="A28" s="1"/>
  <c r="H27" a="1"/>
  <c r="H27" s="1"/>
  <c r="G27" a="1"/>
  <c r="G27" s="1"/>
  <c r="B27" a="1"/>
  <c r="B27" s="1"/>
  <c r="A27" a="1"/>
  <c r="A27" s="1"/>
  <c r="H26" a="1"/>
  <c r="H26" s="1"/>
  <c r="G26" a="1"/>
  <c r="G26" s="1"/>
  <c r="B26" a="1"/>
  <c r="B26" s="1"/>
  <c r="A26" a="1"/>
  <c r="A26" s="1"/>
  <c r="H25" a="1"/>
  <c r="H25" s="1"/>
  <c r="G25" a="1"/>
  <c r="G25" s="1"/>
  <c r="B25" a="1"/>
  <c r="B25" s="1"/>
  <c r="A25" a="1"/>
  <c r="A25" s="1"/>
  <c r="H24" a="1"/>
  <c r="H24" s="1"/>
  <c r="G24" a="1"/>
  <c r="G24" s="1"/>
  <c r="B24" a="1"/>
  <c r="B24" s="1"/>
  <c r="A24" a="1"/>
  <c r="A24" s="1"/>
  <c r="H23" a="1"/>
  <c r="H23" s="1"/>
  <c r="G23" a="1"/>
  <c r="G23" s="1"/>
  <c r="B23" a="1"/>
  <c r="B23" s="1"/>
  <c r="A23" a="1"/>
  <c r="A23" s="1"/>
  <c r="H22" a="1"/>
  <c r="H22" s="1"/>
  <c r="G22" a="1"/>
  <c r="G22" s="1"/>
  <c r="B22" a="1"/>
  <c r="B22" s="1"/>
  <c r="A22" a="1"/>
  <c r="A22" s="1"/>
  <c r="H21" a="1"/>
  <c r="H21" s="1"/>
  <c r="G21" a="1"/>
  <c r="G21" s="1"/>
  <c r="B21" a="1"/>
  <c r="B21" s="1"/>
  <c r="A21" a="1"/>
  <c r="A21" s="1"/>
  <c r="H20" a="1"/>
  <c r="H20" s="1"/>
  <c r="G20" a="1"/>
  <c r="G20" s="1"/>
  <c r="B20" a="1"/>
  <c r="B20" s="1"/>
  <c r="A20" a="1"/>
  <c r="A20" s="1"/>
  <c r="H19" a="1"/>
  <c r="H19" s="1"/>
  <c r="G19" a="1"/>
  <c r="G19" s="1"/>
  <c r="B19" a="1"/>
  <c r="B19" s="1"/>
  <c r="A19" a="1"/>
  <c r="A19" s="1"/>
  <c r="H18" a="1"/>
  <c r="H18" s="1"/>
  <c r="G18" a="1"/>
  <c r="G18" s="1"/>
  <c r="B18" a="1"/>
  <c r="B18" s="1"/>
  <c r="A18" a="1"/>
  <c r="A18" s="1"/>
  <c r="H17" a="1"/>
  <c r="H17" s="1"/>
  <c r="G17" a="1"/>
  <c r="G17" s="1"/>
  <c r="B17" a="1"/>
  <c r="B17" s="1"/>
  <c r="A17" a="1"/>
  <c r="A17" s="1"/>
  <c r="H16" a="1"/>
  <c r="H16" s="1"/>
  <c r="G16" a="1"/>
  <c r="G16" s="1"/>
  <c r="B16" a="1"/>
  <c r="B16" s="1"/>
  <c r="A16" a="1"/>
  <c r="A16" s="1"/>
  <c r="H15" a="1"/>
  <c r="H15" s="1"/>
  <c r="G15" a="1"/>
  <c r="G15" s="1"/>
  <c r="B15" a="1"/>
  <c r="B15" s="1"/>
  <c r="A15" a="1"/>
  <c r="A15" s="1"/>
  <c r="H14" a="1"/>
  <c r="H14" s="1"/>
  <c r="G14" a="1"/>
  <c r="G14" s="1"/>
  <c r="B14" a="1"/>
  <c r="B14" s="1"/>
  <c r="A14" a="1"/>
  <c r="A14" s="1"/>
  <c r="H49" i="45" a="1"/>
  <c r="H49" s="1"/>
  <c r="G49" a="1"/>
  <c r="G49" s="1"/>
  <c r="B49" a="1"/>
  <c r="B49" s="1"/>
  <c r="A49" a="1"/>
  <c r="A49" s="1"/>
  <c r="F49" s="1"/>
  <c r="H48" a="1"/>
  <c r="H48" s="1"/>
  <c r="G48" a="1"/>
  <c r="G48" s="1"/>
  <c r="B48" a="1"/>
  <c r="B48" s="1"/>
  <c r="A48" a="1"/>
  <c r="A48" s="1"/>
  <c r="F48" s="1"/>
  <c r="H47" a="1"/>
  <c r="H47" s="1"/>
  <c r="G47" a="1"/>
  <c r="G47" s="1"/>
  <c r="B47" a="1"/>
  <c r="B47" s="1"/>
  <c r="A47" a="1"/>
  <c r="A47" s="1"/>
  <c r="H46" a="1"/>
  <c r="H46" s="1"/>
  <c r="G46" a="1"/>
  <c r="G46" s="1"/>
  <c r="B46" a="1"/>
  <c r="B46" s="1"/>
  <c r="A46" a="1"/>
  <c r="A46" s="1"/>
  <c r="F46" s="1"/>
  <c r="H45" a="1"/>
  <c r="H45" s="1"/>
  <c r="G45" a="1"/>
  <c r="G45" s="1"/>
  <c r="B45" a="1"/>
  <c r="B45" s="1"/>
  <c r="A45" a="1"/>
  <c r="A45" s="1"/>
  <c r="F45" s="1"/>
  <c r="H44" a="1"/>
  <c r="H44" s="1"/>
  <c r="G44" a="1"/>
  <c r="G44" s="1"/>
  <c r="B44" a="1"/>
  <c r="B44" s="1"/>
  <c r="A44" a="1"/>
  <c r="A44" s="1"/>
  <c r="H43" a="1"/>
  <c r="H43" s="1"/>
  <c r="G43" a="1"/>
  <c r="G43" s="1"/>
  <c r="B43" a="1"/>
  <c r="B43" s="1"/>
  <c r="A43" a="1"/>
  <c r="A43" s="1"/>
  <c r="F43" s="1"/>
  <c r="H42" a="1"/>
  <c r="H42" s="1"/>
  <c r="G42" a="1"/>
  <c r="G42" s="1"/>
  <c r="B42" a="1"/>
  <c r="B42" s="1"/>
  <c r="A42" a="1"/>
  <c r="A42" s="1"/>
  <c r="F42" s="1"/>
  <c r="H41" a="1"/>
  <c r="H41" s="1"/>
  <c r="G41" a="1"/>
  <c r="G41" s="1"/>
  <c r="B41" a="1"/>
  <c r="B41" s="1"/>
  <c r="A41" a="1"/>
  <c r="A41" s="1"/>
  <c r="H40" a="1"/>
  <c r="H40" s="1"/>
  <c r="G40" a="1"/>
  <c r="G40" s="1"/>
  <c r="B40" a="1"/>
  <c r="B40" s="1"/>
  <c r="A40" a="1"/>
  <c r="A40" s="1"/>
  <c r="F40" s="1"/>
  <c r="H39" a="1"/>
  <c r="H39" s="1"/>
  <c r="G39" a="1"/>
  <c r="G39" s="1"/>
  <c r="B39" a="1"/>
  <c r="B39" s="1"/>
  <c r="A39" a="1"/>
  <c r="A39" s="1"/>
  <c r="F39" s="1"/>
  <c r="H38" a="1"/>
  <c r="H38" s="1"/>
  <c r="G38" a="1"/>
  <c r="G38" s="1"/>
  <c r="B38" a="1"/>
  <c r="B38" s="1"/>
  <c r="A38" a="1"/>
  <c r="A38" s="1"/>
  <c r="H37" a="1"/>
  <c r="H37" s="1"/>
  <c r="G37" a="1"/>
  <c r="G37" s="1"/>
  <c r="B37" a="1"/>
  <c r="B37" s="1"/>
  <c r="A37" a="1"/>
  <c r="A37" s="1"/>
  <c r="F37" s="1"/>
  <c r="H36" a="1"/>
  <c r="H36" s="1"/>
  <c r="G36" a="1"/>
  <c r="G36" s="1"/>
  <c r="B36" a="1"/>
  <c r="B36" s="1"/>
  <c r="A36" a="1"/>
  <c r="A36" s="1"/>
  <c r="F36" s="1"/>
  <c r="H35" a="1"/>
  <c r="H35" s="1"/>
  <c r="G35" a="1"/>
  <c r="G35" s="1"/>
  <c r="B35" a="1"/>
  <c r="B35" s="1"/>
  <c r="A35" a="1"/>
  <c r="A35" s="1"/>
  <c r="H34" a="1"/>
  <c r="H34" s="1"/>
  <c r="G34" a="1"/>
  <c r="G34" s="1"/>
  <c r="B34" a="1"/>
  <c r="B34" s="1"/>
  <c r="A34" a="1"/>
  <c r="A34" s="1"/>
  <c r="F34" s="1"/>
  <c r="H33" a="1"/>
  <c r="H33" s="1"/>
  <c r="G33" a="1"/>
  <c r="G33" s="1"/>
  <c r="B33" a="1"/>
  <c r="B33" s="1"/>
  <c r="A33" a="1"/>
  <c r="A33" s="1"/>
  <c r="F33" s="1"/>
  <c r="H32" a="1"/>
  <c r="H32" s="1"/>
  <c r="G32" a="1"/>
  <c r="G32" s="1"/>
  <c r="B32" a="1"/>
  <c r="B32" s="1"/>
  <c r="A32" a="1"/>
  <c r="A32" s="1"/>
  <c r="H31" a="1"/>
  <c r="H31" s="1"/>
  <c r="G31" a="1"/>
  <c r="G31" s="1"/>
  <c r="B31" a="1"/>
  <c r="B31" s="1"/>
  <c r="A31" a="1"/>
  <c r="A31" s="1"/>
  <c r="F31" s="1"/>
  <c r="H30" a="1"/>
  <c r="H30" s="1"/>
  <c r="G30" a="1"/>
  <c r="G30" s="1"/>
  <c r="B30" a="1"/>
  <c r="B30" s="1"/>
  <c r="A30" a="1"/>
  <c r="A30" s="1"/>
  <c r="F30" s="1"/>
  <c r="H29" a="1"/>
  <c r="H29" s="1"/>
  <c r="G29" a="1"/>
  <c r="G29" s="1"/>
  <c r="B29" a="1"/>
  <c r="B29" s="1"/>
  <c r="A29" a="1"/>
  <c r="A29" s="1"/>
  <c r="H28" a="1"/>
  <c r="H28" s="1"/>
  <c r="G28" a="1"/>
  <c r="G28" s="1"/>
  <c r="B28" a="1"/>
  <c r="B28" s="1"/>
  <c r="A28" a="1"/>
  <c r="A28" s="1"/>
  <c r="F28" s="1"/>
  <c r="H27" a="1"/>
  <c r="H27" s="1"/>
  <c r="G27" a="1"/>
  <c r="G27" s="1"/>
  <c r="B27" a="1"/>
  <c r="B27" s="1"/>
  <c r="A27" a="1"/>
  <c r="A27" s="1"/>
  <c r="F27" s="1"/>
  <c r="H26" a="1"/>
  <c r="H26" s="1"/>
  <c r="G26" a="1"/>
  <c r="G26" s="1"/>
  <c r="B26" a="1"/>
  <c r="B26" s="1"/>
  <c r="A26" a="1"/>
  <c r="A26" s="1"/>
  <c r="H25" a="1"/>
  <c r="H25" s="1"/>
  <c r="G25" a="1"/>
  <c r="G25" s="1"/>
  <c r="B25" a="1"/>
  <c r="B25" s="1"/>
  <c r="A25" a="1"/>
  <c r="A25" s="1"/>
  <c r="F25" s="1"/>
  <c r="H24" a="1"/>
  <c r="H24" s="1"/>
  <c r="G24" a="1"/>
  <c r="G24" s="1"/>
  <c r="B24" a="1"/>
  <c r="B24" s="1"/>
  <c r="A24" a="1"/>
  <c r="A24" s="1"/>
  <c r="F24" s="1"/>
  <c r="H23" a="1"/>
  <c r="H23" s="1"/>
  <c r="G23" a="1"/>
  <c r="G23" s="1"/>
  <c r="B23" a="1"/>
  <c r="B23" s="1"/>
  <c r="A23" a="1"/>
  <c r="A23" s="1"/>
  <c r="H22" a="1"/>
  <c r="H22" s="1"/>
  <c r="G22" a="1"/>
  <c r="G22" s="1"/>
  <c r="B22" a="1"/>
  <c r="B22" s="1"/>
  <c r="A22" a="1"/>
  <c r="A22" s="1"/>
  <c r="F22" s="1"/>
  <c r="H21" a="1"/>
  <c r="H21" s="1"/>
  <c r="G21" a="1"/>
  <c r="G21" s="1"/>
  <c r="B21" a="1"/>
  <c r="B21" s="1"/>
  <c r="A21" a="1"/>
  <c r="A21" s="1"/>
  <c r="F21" s="1"/>
  <c r="H20" a="1"/>
  <c r="H20" s="1"/>
  <c r="G20" a="1"/>
  <c r="G20" s="1"/>
  <c r="B20" a="1"/>
  <c r="B20" s="1"/>
  <c r="A20" a="1"/>
  <c r="A20" s="1"/>
  <c r="H19" a="1"/>
  <c r="H19" s="1"/>
  <c r="G19" a="1"/>
  <c r="G19" s="1"/>
  <c r="B19" a="1"/>
  <c r="B19" s="1"/>
  <c r="A19" a="1"/>
  <c r="A19" s="1"/>
  <c r="F19" s="1"/>
  <c r="H18" a="1"/>
  <c r="H18" s="1"/>
  <c r="G18" a="1"/>
  <c r="G18" s="1"/>
  <c r="B18" a="1"/>
  <c r="B18" s="1"/>
  <c r="A18" a="1"/>
  <c r="A18" s="1"/>
  <c r="F18" s="1"/>
  <c r="H17" a="1"/>
  <c r="H17" s="1"/>
  <c r="G17" a="1"/>
  <c r="G17" s="1"/>
  <c r="B17" a="1"/>
  <c r="B17" s="1"/>
  <c r="A17" a="1"/>
  <c r="A17" s="1"/>
  <c r="H16" a="1"/>
  <c r="H16" s="1"/>
  <c r="G16" a="1"/>
  <c r="G16" s="1"/>
  <c r="B16" a="1"/>
  <c r="B16" s="1"/>
  <c r="A16" a="1"/>
  <c r="A16" s="1"/>
  <c r="F16" s="1"/>
  <c r="H15" a="1"/>
  <c r="H15" s="1"/>
  <c r="G15" a="1"/>
  <c r="G15" s="1"/>
  <c r="B15" a="1"/>
  <c r="B15" s="1"/>
  <c r="A15" a="1"/>
  <c r="A15" s="1"/>
  <c r="F15" s="1"/>
  <c r="H14" a="1"/>
  <c r="H14" s="1"/>
  <c r="G14" a="1"/>
  <c r="G14" s="1"/>
  <c r="B14" a="1"/>
  <c r="B14" s="1"/>
  <c r="A14" a="1"/>
  <c r="A14" s="1"/>
  <c r="C61" i="48"/>
  <c r="F61" s="1"/>
  <c r="H63" s="1"/>
  <c r="A61"/>
  <c r="F108"/>
  <c r="H110" s="1"/>
  <c r="J94" i="49" l="1"/>
  <c r="J106"/>
  <c r="J99"/>
  <c r="J44" i="45"/>
  <c r="J47"/>
  <c r="J54" i="49"/>
  <c r="J38" i="45"/>
  <c r="J41"/>
  <c r="J17"/>
  <c r="J20"/>
  <c r="J23"/>
  <c r="J35"/>
  <c r="K14" i="49"/>
  <c r="J46"/>
  <c r="F46"/>
  <c r="K28"/>
  <c r="F28"/>
  <c r="K35"/>
  <c r="F35"/>
  <c r="K23"/>
  <c r="F23"/>
  <c r="J87"/>
  <c r="F87"/>
  <c r="K53"/>
  <c r="J53"/>
  <c r="F53"/>
  <c r="F99"/>
  <c r="J28"/>
  <c r="J14"/>
  <c r="K81"/>
  <c r="F81"/>
  <c r="J81"/>
  <c r="K93"/>
  <c r="F93"/>
  <c r="J93"/>
  <c r="J107"/>
  <c r="K107"/>
  <c r="F107"/>
  <c r="J109"/>
  <c r="K109"/>
  <c r="F109"/>
  <c r="J86"/>
  <c r="K86"/>
  <c r="F86"/>
  <c r="J98"/>
  <c r="K98"/>
  <c r="F98"/>
  <c r="K105"/>
  <c r="F105"/>
  <c r="J105"/>
  <c r="J75"/>
  <c r="K75"/>
  <c r="F75"/>
  <c r="J84"/>
  <c r="K84"/>
  <c r="F84"/>
  <c r="J96"/>
  <c r="K96"/>
  <c r="F96"/>
  <c r="J110"/>
  <c r="K110"/>
  <c r="F110"/>
  <c r="F78"/>
  <c r="J78"/>
  <c r="K78"/>
  <c r="F80"/>
  <c r="J80"/>
  <c r="K80"/>
  <c r="F92"/>
  <c r="K92"/>
  <c r="J92"/>
  <c r="J108"/>
  <c r="K108"/>
  <c r="F108"/>
  <c r="F100"/>
  <c r="J100"/>
  <c r="K100"/>
  <c r="F90"/>
  <c r="J90"/>
  <c r="K90"/>
  <c r="F76"/>
  <c r="J76"/>
  <c r="K76"/>
  <c r="J95"/>
  <c r="K95"/>
  <c r="F95"/>
  <c r="J97"/>
  <c r="K97"/>
  <c r="F97"/>
  <c r="J83"/>
  <c r="K83"/>
  <c r="F83"/>
  <c r="F88"/>
  <c r="J88"/>
  <c r="K88"/>
  <c r="F102"/>
  <c r="J102"/>
  <c r="K102"/>
  <c r="F104"/>
  <c r="K104"/>
  <c r="J104"/>
  <c r="K79"/>
  <c r="K91"/>
  <c r="K103"/>
  <c r="J79"/>
  <c r="J91"/>
  <c r="J103"/>
  <c r="K77"/>
  <c r="F85"/>
  <c r="K89"/>
  <c r="K101"/>
  <c r="J77"/>
  <c r="J89"/>
  <c r="J101"/>
  <c r="K87"/>
  <c r="K99"/>
  <c r="F82"/>
  <c r="F94"/>
  <c r="F106"/>
  <c r="K85"/>
  <c r="K82"/>
  <c r="K94"/>
  <c r="K106"/>
  <c r="F30"/>
  <c r="J30"/>
  <c r="K30"/>
  <c r="J35"/>
  <c r="J24"/>
  <c r="F16"/>
  <c r="J16"/>
  <c r="K16"/>
  <c r="F18"/>
  <c r="J18"/>
  <c r="K18"/>
  <c r="K20"/>
  <c r="F20"/>
  <c r="J20"/>
  <c r="J39"/>
  <c r="K39"/>
  <c r="F39"/>
  <c r="J34"/>
  <c r="K34"/>
  <c r="F34"/>
  <c r="J22"/>
  <c r="K22"/>
  <c r="F22"/>
  <c r="J26"/>
  <c r="K26"/>
  <c r="F26"/>
  <c r="J37"/>
  <c r="K37"/>
  <c r="F37"/>
  <c r="K50"/>
  <c r="F50"/>
  <c r="J50"/>
  <c r="J52"/>
  <c r="K52"/>
  <c r="F52"/>
  <c r="F48"/>
  <c r="J48"/>
  <c r="K48"/>
  <c r="J55"/>
  <c r="K55"/>
  <c r="F55"/>
  <c r="J23"/>
  <c r="F47"/>
  <c r="J47"/>
  <c r="K47"/>
  <c r="F29"/>
  <c r="J29"/>
  <c r="K29"/>
  <c r="F31"/>
  <c r="J31"/>
  <c r="K31"/>
  <c r="J33"/>
  <c r="K33"/>
  <c r="F33"/>
  <c r="K32"/>
  <c r="F32"/>
  <c r="J32"/>
  <c r="J15"/>
  <c r="K15"/>
  <c r="F15"/>
  <c r="F17"/>
  <c r="J17"/>
  <c r="K17"/>
  <c r="F19"/>
  <c r="J19"/>
  <c r="K19"/>
  <c r="J25"/>
  <c r="K25"/>
  <c r="F25"/>
  <c r="J27"/>
  <c r="K27"/>
  <c r="F27"/>
  <c r="J36"/>
  <c r="J21"/>
  <c r="K21"/>
  <c r="F21"/>
  <c r="J38"/>
  <c r="K38"/>
  <c r="F38"/>
  <c r="F49"/>
  <c r="J49"/>
  <c r="K49"/>
  <c r="J51"/>
  <c r="K51"/>
  <c r="F51"/>
  <c r="F14"/>
  <c r="F24"/>
  <c r="F36"/>
  <c r="F54"/>
  <c r="K24"/>
  <c r="K36"/>
  <c r="K54"/>
  <c r="K45" i="45"/>
  <c r="J29"/>
  <c r="K18"/>
  <c r="J26"/>
  <c r="J14"/>
  <c r="K27"/>
  <c r="K36"/>
  <c r="J32"/>
  <c r="K21"/>
  <c r="K30"/>
  <c r="K39"/>
  <c r="K48"/>
  <c r="K15"/>
  <c r="K24"/>
  <c r="K33"/>
  <c r="K42"/>
  <c r="F14"/>
  <c r="J15"/>
  <c r="F17"/>
  <c r="J18"/>
  <c r="F20"/>
  <c r="J21"/>
  <c r="F23"/>
  <c r="J24"/>
  <c r="F26"/>
  <c r="J27"/>
  <c r="F29"/>
  <c r="J30"/>
  <c r="F32"/>
  <c r="J33"/>
  <c r="F35"/>
  <c r="J36"/>
  <c r="F38"/>
  <c r="J39"/>
  <c r="F41"/>
  <c r="J42"/>
  <c r="F44"/>
  <c r="J45"/>
  <c r="F47"/>
  <c r="J48"/>
  <c r="K16"/>
  <c r="K19"/>
  <c r="K22"/>
  <c r="K25"/>
  <c r="K28"/>
  <c r="K31"/>
  <c r="K34"/>
  <c r="K37"/>
  <c r="K40"/>
  <c r="K43"/>
  <c r="K46"/>
  <c r="K49"/>
  <c r="J16"/>
  <c r="J19"/>
  <c r="J22"/>
  <c r="J25"/>
  <c r="J28"/>
  <c r="J31"/>
  <c r="J34"/>
  <c r="J37"/>
  <c r="J40"/>
  <c r="J43"/>
  <c r="J46"/>
  <c r="J49"/>
  <c r="K14"/>
  <c r="K17"/>
  <c r="K20"/>
  <c r="K23"/>
  <c r="K26"/>
  <c r="K29"/>
  <c r="K32"/>
  <c r="K35"/>
  <c r="K38"/>
  <c r="K41"/>
  <c r="K44"/>
  <c r="K47"/>
  <c r="E67" i="49" l="1"/>
  <c r="E122"/>
  <c r="H67"/>
  <c r="H73" s="1"/>
  <c r="E59" i="48"/>
  <c r="E106"/>
  <c r="H59"/>
  <c r="H61" s="1"/>
  <c r="H122" i="49" l="1"/>
  <c r="D124" s="1"/>
  <c r="H106" i="48"/>
  <c r="H112" s="1"/>
  <c r="D69" i="49"/>
  <c r="H69"/>
  <c r="D61" i="48"/>
  <c r="H65"/>
  <c r="H124" i="49" l="1"/>
  <c r="H128"/>
  <c r="D108" i="48"/>
  <c r="H108"/>
  <c r="F63" i="45" l="1"/>
  <c r="H65" s="1"/>
  <c r="H56" i="44"/>
  <c r="I49" i="45" l="1" a="1"/>
  <c r="I49" s="1"/>
  <c r="I55" i="49" a="1"/>
  <c r="I55" s="1"/>
  <c r="I54" a="1"/>
  <c r="I54" s="1"/>
  <c r="I48" i="45" a="1"/>
  <c r="I48" s="1"/>
  <c r="I47" a="1"/>
  <c r="I47" s="1"/>
  <c r="I53" i="49" a="1"/>
  <c r="I53" s="1"/>
  <c r="I52" a="1"/>
  <c r="I52" s="1"/>
  <c r="I46" i="45" a="1"/>
  <c r="I46" s="1"/>
  <c r="I51" i="49" a="1"/>
  <c r="I51" s="1"/>
  <c r="I45" i="45" a="1"/>
  <c r="I45" s="1"/>
  <c r="I44" a="1"/>
  <c r="I44" s="1"/>
  <c r="I50" i="49" a="1"/>
  <c r="I50" s="1"/>
  <c r="I49" a="1"/>
  <c r="I49" s="1"/>
  <c r="I43" i="45" a="1"/>
  <c r="I43" s="1"/>
  <c r="I42" a="1"/>
  <c r="I42" s="1"/>
  <c r="I48" i="49" a="1"/>
  <c r="I48" s="1"/>
  <c r="I38" a="1"/>
  <c r="I38" s="1"/>
  <c r="I47" a="1"/>
  <c r="I47" s="1"/>
  <c r="I46" a="1"/>
  <c r="I46" s="1"/>
  <c r="I39" a="1"/>
  <c r="I39" s="1"/>
  <c r="I17" a="1"/>
  <c r="I17" s="1"/>
  <c r="I37" a="1"/>
  <c r="I37" s="1"/>
  <c r="I29" a="1"/>
  <c r="I29" s="1"/>
  <c r="I36" a="1"/>
  <c r="I36" s="1"/>
  <c r="I28" a="1"/>
  <c r="I28" s="1"/>
  <c r="I23" a="1"/>
  <c r="I23" s="1"/>
  <c r="I27" a="1"/>
  <c r="I27" s="1"/>
  <c r="I26" a="1"/>
  <c r="I26" s="1"/>
  <c r="I34" a="1"/>
  <c r="I34" s="1"/>
  <c r="I24" a="1"/>
  <c r="I24" s="1"/>
  <c r="I21" a="1"/>
  <c r="I21" s="1"/>
  <c r="I33" a="1"/>
  <c r="I33" s="1"/>
  <c r="I15" a="1"/>
  <c r="I15" s="1"/>
  <c r="I25" a="1"/>
  <c r="I25" s="1"/>
  <c r="I20" a="1"/>
  <c r="I20" s="1"/>
  <c r="I32" a="1"/>
  <c r="I32" s="1"/>
  <c r="I16" a="1"/>
  <c r="I16" s="1"/>
  <c r="I35" a="1"/>
  <c r="I35" s="1"/>
  <c r="I19" a="1"/>
  <c r="I19" s="1"/>
  <c r="I31" a="1"/>
  <c r="I31" s="1"/>
  <c r="I14" a="1"/>
  <c r="I14" s="1"/>
  <c r="I22" a="1"/>
  <c r="I22" s="1"/>
  <c r="I18" a="1"/>
  <c r="I18" s="1"/>
  <c r="I30" a="1"/>
  <c r="I30" s="1"/>
  <c r="I21" i="45" a="1"/>
  <c r="I21" s="1"/>
  <c r="I19" a="1"/>
  <c r="I19" s="1"/>
  <c r="I27" a="1"/>
  <c r="I27" s="1"/>
  <c r="I26" a="1"/>
  <c r="I26" s="1"/>
  <c r="I38" a="1"/>
  <c r="I38" s="1"/>
  <c r="I33" a="1"/>
  <c r="I33" s="1"/>
  <c r="I15" a="1"/>
  <c r="I15" s="1"/>
  <c r="I25" a="1"/>
  <c r="I25" s="1"/>
  <c r="I37" a="1"/>
  <c r="I37" s="1"/>
  <c r="I39" a="1"/>
  <c r="I39" s="1"/>
  <c r="I24" a="1"/>
  <c r="I24" s="1"/>
  <c r="I36" a="1"/>
  <c r="I36" s="1"/>
  <c r="I20" a="1"/>
  <c r="I20" s="1"/>
  <c r="I23" a="1"/>
  <c r="I23" s="1"/>
  <c r="I35" a="1"/>
  <c r="I35" s="1"/>
  <c r="I14" a="1"/>
  <c r="I14" s="1"/>
  <c r="I22" a="1"/>
  <c r="I22" s="1"/>
  <c r="I34" a="1"/>
  <c r="I34" s="1"/>
  <c r="I32" a="1"/>
  <c r="I32" s="1"/>
  <c r="I30" a="1"/>
  <c r="I30" s="1"/>
  <c r="I17" a="1"/>
  <c r="I17" s="1"/>
  <c r="I41" a="1"/>
  <c r="I41" s="1"/>
  <c r="I31" a="1"/>
  <c r="I31" s="1"/>
  <c r="I18" a="1"/>
  <c r="I18" s="1"/>
  <c r="I29" a="1"/>
  <c r="I29" s="1"/>
  <c r="I16" a="1"/>
  <c r="I16" s="1"/>
  <c r="I28" a="1"/>
  <c r="I28" s="1"/>
  <c r="I40" a="1"/>
  <c r="I40" s="1"/>
  <c r="CW15" i="37"/>
  <c r="CW14"/>
  <c r="CW17"/>
  <c r="H61" i="45" l="1"/>
  <c r="H67" s="1"/>
  <c r="H52" i="44"/>
  <c r="CW25" i="37"/>
  <c r="CW24"/>
  <c r="D63" i="45" l="1"/>
  <c r="H63"/>
  <c r="D54" i="44"/>
  <c r="H54"/>
  <c r="H58"/>
  <c r="BX9" i="37" l="1"/>
  <c r="BX15" s="1"/>
  <c r="BX11"/>
  <c r="DD11"/>
  <c r="FD11"/>
  <c r="FD9"/>
  <c r="DD9"/>
  <c r="AO11"/>
  <c r="AO13" s="1"/>
  <c r="AO9"/>
  <c r="BB27" l="1"/>
  <c r="AT28"/>
  <c r="CQ37"/>
  <c r="CQ35"/>
  <c r="CQ33"/>
  <c r="CQ31"/>
  <c r="CQ29"/>
  <c r="CQ27"/>
  <c r="CQ25"/>
  <c r="CQ23"/>
  <c r="CQ21"/>
  <c r="CQ36"/>
  <c r="CQ34"/>
  <c r="CQ32"/>
  <c r="CQ30"/>
  <c r="CQ28"/>
  <c r="CQ26"/>
  <c r="CQ24"/>
  <c r="CR24" s="1"/>
  <c r="CQ22"/>
  <c r="CR22" s="1"/>
  <c r="CQ20"/>
  <c r="CR20" s="1"/>
  <c r="CQ19"/>
  <c r="CR19" s="1"/>
  <c r="CQ18"/>
  <c r="CR18" s="1"/>
  <c r="CQ14"/>
  <c r="CR14" s="1"/>
  <c r="CQ11"/>
  <c r="CR11" s="1"/>
  <c r="CQ12"/>
  <c r="CR12" s="1"/>
  <c r="CQ10"/>
  <c r="CR10" s="1"/>
  <c r="CQ16"/>
  <c r="CR16" s="1"/>
  <c r="CQ17"/>
  <c r="CR17" s="1"/>
  <c r="CQ15"/>
  <c r="CR15" s="1"/>
  <c r="CQ13"/>
  <c r="CR13" s="1"/>
  <c r="CR37"/>
  <c r="CR35"/>
  <c r="CR33"/>
  <c r="CR31"/>
  <c r="CR29"/>
  <c r="CR27"/>
  <c r="CR25"/>
  <c r="CR23"/>
  <c r="CR21"/>
  <c r="CR36"/>
  <c r="CR34"/>
  <c r="CR32"/>
  <c r="CR30"/>
  <c r="CR28"/>
  <c r="CR26"/>
  <c r="BX13"/>
  <c r="DD13"/>
  <c r="FD13"/>
  <c r="AA32" a="1"/>
  <c r="AA32" s="1"/>
  <c r="W32" a="1"/>
  <c r="W32" s="1"/>
  <c r="Z32" a="1"/>
  <c r="Z32" s="1"/>
  <c r="CA110"/>
  <c r="B103" i="49" s="1" a="1"/>
  <c r="B103" s="1"/>
  <c r="CY11" i="37" l="1"/>
  <c r="AC81" i="31"/>
  <c r="AE81"/>
  <c r="AG81"/>
  <c r="AD81"/>
  <c r="AF81"/>
  <c r="AH81"/>
  <c r="AC80"/>
  <c r="AE80"/>
  <c r="AG80"/>
  <c r="AD80"/>
  <c r="AF80"/>
  <c r="AH80"/>
  <c r="AC78"/>
  <c r="AE78"/>
  <c r="AG78"/>
  <c r="AD78"/>
  <c r="AF78"/>
  <c r="AH78"/>
  <c r="AC79"/>
  <c r="AE79"/>
  <c r="AG79"/>
  <c r="AD79"/>
  <c r="AF79"/>
  <c r="AH79"/>
  <c r="CY15" i="37" l="1"/>
  <c r="CW18"/>
  <c r="AX17" s="1"/>
  <c r="CY12" l="1"/>
  <c r="CY18" l="1"/>
  <c r="CY14"/>
  <c r="AA1" i="33"/>
  <c r="AX22" i="37" l="1"/>
  <c r="AX19" l="1"/>
  <c r="A9" i="23" l="1"/>
  <c r="AB162" i="31"/>
  <c r="AB163"/>
  <c r="J10" i="23" l="1"/>
  <c r="H10"/>
  <c r="K10"/>
  <c r="I10"/>
  <c r="G10"/>
  <c r="AK162" i="31"/>
  <c r="AK163"/>
  <c r="AA162"/>
  <c r="AA163"/>
  <c r="AM163" l="1"/>
  <c r="AL163"/>
  <c r="AL162"/>
  <c r="AM162"/>
  <c r="AP162"/>
  <c r="AR162" s="1"/>
  <c r="AO162"/>
  <c r="AQ162" s="1"/>
  <c r="AP163"/>
  <c r="AO163"/>
  <c r="N11" i="23"/>
  <c r="L11"/>
  <c r="M11"/>
  <c r="K11"/>
  <c r="J11"/>
  <c r="H11"/>
  <c r="I11"/>
  <c r="G11"/>
  <c r="AR163" i="31" l="1"/>
  <c r="CV52" i="37"/>
  <c r="AQ163" i="31"/>
  <c r="CX52" i="37"/>
  <c r="CX48"/>
  <c r="CX43"/>
  <c r="F12" i="23"/>
  <c r="D12"/>
  <c r="E12"/>
  <c r="J12"/>
  <c r="H12"/>
  <c r="C12"/>
  <c r="I12"/>
  <c r="G12"/>
  <c r="E13" l="1"/>
  <c r="F13"/>
  <c r="D13"/>
  <c r="J13"/>
  <c r="H13"/>
  <c r="I13"/>
  <c r="G13"/>
  <c r="C13"/>
  <c r="N14" l="1"/>
  <c r="M14"/>
  <c r="F14"/>
  <c r="D14"/>
  <c r="L14"/>
  <c r="E14"/>
  <c r="C14"/>
  <c r="K14"/>
  <c r="E15" l="1"/>
  <c r="F15"/>
  <c r="D15"/>
  <c r="J15"/>
  <c r="H15"/>
  <c r="I15"/>
  <c r="G15"/>
  <c r="C15"/>
  <c r="AB161" i="31"/>
  <c r="F16" i="23" l="1"/>
  <c r="D16"/>
  <c r="E16"/>
  <c r="J16"/>
  <c r="H16"/>
  <c r="C16"/>
  <c r="I16"/>
  <c r="G16"/>
  <c r="AK161" i="31"/>
  <c r="AA161"/>
  <c r="Q161"/>
  <c r="Q32"/>
  <c r="AM161" l="1"/>
  <c r="AL161"/>
  <c r="AP161"/>
  <c r="CW52" i="37" s="1"/>
  <c r="AO161" i="31"/>
  <c r="AC66"/>
  <c r="AE66"/>
  <c r="AG66"/>
  <c r="AD66"/>
  <c r="AF66"/>
  <c r="AH66"/>
  <c r="AH2"/>
  <c r="AF2"/>
  <c r="AD2"/>
  <c r="AG2"/>
  <c r="AE2"/>
  <c r="AC2"/>
  <c r="AC25"/>
  <c r="AE25"/>
  <c r="AG25"/>
  <c r="AD25"/>
  <c r="AF25"/>
  <c r="AH25"/>
  <c r="AD88"/>
  <c r="AF88"/>
  <c r="AH88"/>
  <c r="AC88"/>
  <c r="AG88"/>
  <c r="AE88"/>
  <c r="AC84"/>
  <c r="AE84"/>
  <c r="AG84"/>
  <c r="AD84"/>
  <c r="AF84"/>
  <c r="AH84"/>
  <c r="AC42"/>
  <c r="AE42"/>
  <c r="AG42"/>
  <c r="AD42"/>
  <c r="AF42"/>
  <c r="AH42"/>
  <c r="AC22"/>
  <c r="AE22"/>
  <c r="AG22"/>
  <c r="AD22"/>
  <c r="AF22"/>
  <c r="AH22"/>
  <c r="AC85"/>
  <c r="AE85"/>
  <c r="AG85"/>
  <c r="AD85"/>
  <c r="AF85"/>
  <c r="AH85"/>
  <c r="AC67"/>
  <c r="AE67"/>
  <c r="AG67"/>
  <c r="AD67"/>
  <c r="AF67"/>
  <c r="AH67"/>
  <c r="AC86"/>
  <c r="AE86"/>
  <c r="AG86"/>
  <c r="AD86"/>
  <c r="AF86"/>
  <c r="AH86"/>
  <c r="AC57"/>
  <c r="AE57"/>
  <c r="AG57"/>
  <c r="AD57"/>
  <c r="AF57"/>
  <c r="AH57"/>
  <c r="AC44"/>
  <c r="AE44"/>
  <c r="AG44"/>
  <c r="AD44"/>
  <c r="AF44"/>
  <c r="AH44"/>
  <c r="AC15"/>
  <c r="AE15"/>
  <c r="AG15"/>
  <c r="AD15"/>
  <c r="AF15"/>
  <c r="AH15"/>
  <c r="AC37"/>
  <c r="AE37"/>
  <c r="AG37"/>
  <c r="AD37"/>
  <c r="AF37"/>
  <c r="AH37"/>
  <c r="AC13"/>
  <c r="AE13"/>
  <c r="AG13"/>
  <c r="AD13"/>
  <c r="AF13"/>
  <c r="AH13"/>
  <c r="AC58"/>
  <c r="AE58"/>
  <c r="AG58"/>
  <c r="AD58"/>
  <c r="AF58"/>
  <c r="AH58"/>
  <c r="AC46"/>
  <c r="AE46"/>
  <c r="AG46"/>
  <c r="AD46"/>
  <c r="AF46"/>
  <c r="AH46"/>
  <c r="AC41"/>
  <c r="AE41"/>
  <c r="AG41"/>
  <c r="AD41"/>
  <c r="AF41"/>
  <c r="AH41"/>
  <c r="AC59"/>
  <c r="AE59"/>
  <c r="AG59"/>
  <c r="AD59"/>
  <c r="AF59"/>
  <c r="AH59"/>
  <c r="AC23"/>
  <c r="AE23"/>
  <c r="AG23"/>
  <c r="AD23"/>
  <c r="AF23"/>
  <c r="AH23"/>
  <c r="AC43"/>
  <c r="AE43"/>
  <c r="AG43"/>
  <c r="AD43"/>
  <c r="AF43"/>
  <c r="AH43"/>
  <c r="AC53"/>
  <c r="AE53"/>
  <c r="AG53"/>
  <c r="AD53"/>
  <c r="AF53"/>
  <c r="AH53"/>
  <c r="AC63"/>
  <c r="AE63"/>
  <c r="AG63"/>
  <c r="AD63"/>
  <c r="AF63"/>
  <c r="AH63"/>
  <c r="AC39"/>
  <c r="AE39"/>
  <c r="AG39"/>
  <c r="AD39"/>
  <c r="AF39"/>
  <c r="AH39"/>
  <c r="AC5"/>
  <c r="AE5"/>
  <c r="AG5"/>
  <c r="AD5"/>
  <c r="AF5"/>
  <c r="AH5"/>
  <c r="AC49"/>
  <c r="AE49"/>
  <c r="AG49"/>
  <c r="AD49"/>
  <c r="AF49"/>
  <c r="AH49"/>
  <c r="AC24"/>
  <c r="AE24"/>
  <c r="AG24"/>
  <c r="AD24"/>
  <c r="AF24"/>
  <c r="AH24"/>
  <c r="AC56"/>
  <c r="AE56"/>
  <c r="AG56"/>
  <c r="AD56"/>
  <c r="AF56"/>
  <c r="AH56"/>
  <c r="AC62"/>
  <c r="AE62"/>
  <c r="AG62"/>
  <c r="AD62"/>
  <c r="AF62"/>
  <c r="AH62"/>
  <c r="AC38"/>
  <c r="AE38"/>
  <c r="AG38"/>
  <c r="AD38"/>
  <c r="AF38"/>
  <c r="AH38"/>
  <c r="AC18"/>
  <c r="AE18"/>
  <c r="AG18"/>
  <c r="AD18"/>
  <c r="AF18"/>
  <c r="AH18"/>
  <c r="AC32"/>
  <c r="AE32"/>
  <c r="AG32"/>
  <c r="AD32"/>
  <c r="AF32"/>
  <c r="AH32"/>
  <c r="AC12"/>
  <c r="AE12"/>
  <c r="AG12"/>
  <c r="AD12"/>
  <c r="AF12"/>
  <c r="AH12"/>
  <c r="AC60"/>
  <c r="AE60"/>
  <c r="AG60"/>
  <c r="AD60"/>
  <c r="AF60"/>
  <c r="AH60"/>
  <c r="AC36"/>
  <c r="AE36"/>
  <c r="AG36"/>
  <c r="AD36"/>
  <c r="AF36"/>
  <c r="AH36"/>
  <c r="AC51"/>
  <c r="AE51"/>
  <c r="AG51"/>
  <c r="AD51"/>
  <c r="AF51"/>
  <c r="AH51"/>
  <c r="AC65"/>
  <c r="AE65"/>
  <c r="AG65"/>
  <c r="AD65"/>
  <c r="AF65"/>
  <c r="AH65"/>
  <c r="AC83"/>
  <c r="AE83"/>
  <c r="AG83"/>
  <c r="AD83"/>
  <c r="AF83"/>
  <c r="AH83"/>
  <c r="AC54"/>
  <c r="AE54"/>
  <c r="AG54"/>
  <c r="AD54"/>
  <c r="AF54"/>
  <c r="AH54"/>
  <c r="AC64"/>
  <c r="AE64"/>
  <c r="AG64"/>
  <c r="AD64"/>
  <c r="AF64"/>
  <c r="AH64"/>
  <c r="AC82"/>
  <c r="AE82"/>
  <c r="AG82"/>
  <c r="AD82"/>
  <c r="AF82"/>
  <c r="AH82"/>
  <c r="AC47"/>
  <c r="AE47"/>
  <c r="AG47"/>
  <c r="AD47"/>
  <c r="AF47"/>
  <c r="AH47"/>
  <c r="AC6"/>
  <c r="AE6"/>
  <c r="AG6"/>
  <c r="AD6"/>
  <c r="AF6"/>
  <c r="AH6"/>
  <c r="AC95"/>
  <c r="AE95"/>
  <c r="AG95"/>
  <c r="AD95"/>
  <c r="AF95"/>
  <c r="AH95"/>
  <c r="AC8"/>
  <c r="AE8"/>
  <c r="AG8"/>
  <c r="AD8"/>
  <c r="AF8"/>
  <c r="AH8"/>
  <c r="AC10"/>
  <c r="AE10"/>
  <c r="AG10"/>
  <c r="AD10"/>
  <c r="AF10"/>
  <c r="AH10"/>
  <c r="AD89"/>
  <c r="AF89"/>
  <c r="AH89"/>
  <c r="AE89"/>
  <c r="AC89"/>
  <c r="AG89"/>
  <c r="AC45"/>
  <c r="AE45"/>
  <c r="AG45"/>
  <c r="AD45"/>
  <c r="AF45"/>
  <c r="AH45"/>
  <c r="AC61"/>
  <c r="AE61"/>
  <c r="AG61"/>
  <c r="AD61"/>
  <c r="AF61"/>
  <c r="AH61"/>
  <c r="AC14"/>
  <c r="AE14"/>
  <c r="AG14"/>
  <c r="AD14"/>
  <c r="AF14"/>
  <c r="AH14"/>
  <c r="AC50"/>
  <c r="AE50"/>
  <c r="AG50"/>
  <c r="AD50"/>
  <c r="AF50"/>
  <c r="AH50"/>
  <c r="AC55"/>
  <c r="AE55"/>
  <c r="AG55"/>
  <c r="AD55"/>
  <c r="AF55"/>
  <c r="AH55"/>
  <c r="AC7"/>
  <c r="AE7"/>
  <c r="AG7"/>
  <c r="AD7"/>
  <c r="AF7"/>
  <c r="AH7"/>
  <c r="AC3"/>
  <c r="AE3"/>
  <c r="AG3"/>
  <c r="AD3"/>
  <c r="AF3"/>
  <c r="AH3"/>
  <c r="AC94"/>
  <c r="AE94"/>
  <c r="AG94"/>
  <c r="AD94"/>
  <c r="AF94"/>
  <c r="AH94"/>
  <c r="AC19"/>
  <c r="AE19"/>
  <c r="AG19"/>
  <c r="AD19"/>
  <c r="AF19"/>
  <c r="AH19"/>
  <c r="AC93"/>
  <c r="AE93"/>
  <c r="AG93"/>
  <c r="AD93"/>
  <c r="AF93"/>
  <c r="AH93"/>
  <c r="AC9"/>
  <c r="AE9"/>
  <c r="AG9"/>
  <c r="AD9"/>
  <c r="AF9"/>
  <c r="AH9"/>
  <c r="AC87"/>
  <c r="AE87"/>
  <c r="AG87"/>
  <c r="AD87"/>
  <c r="AF87"/>
  <c r="AH87"/>
  <c r="AC4"/>
  <c r="AE4"/>
  <c r="AG4"/>
  <c r="AD4"/>
  <c r="AF4"/>
  <c r="AH4"/>
  <c r="AC48"/>
  <c r="AE48"/>
  <c r="AG48"/>
  <c r="AD48"/>
  <c r="AF48"/>
  <c r="AH48"/>
  <c r="AC92"/>
  <c r="AE92"/>
  <c r="AG92"/>
  <c r="AD92"/>
  <c r="AF92"/>
  <c r="AH92"/>
  <c r="AC52"/>
  <c r="AE52"/>
  <c r="AG52"/>
  <c r="AD52"/>
  <c r="AF52"/>
  <c r="AH52"/>
  <c r="AC16"/>
  <c r="AE16"/>
  <c r="AG16"/>
  <c r="AD16"/>
  <c r="AF16"/>
  <c r="AH16"/>
  <c r="AD90"/>
  <c r="AF90"/>
  <c r="AH90"/>
  <c r="AC90"/>
  <c r="AG90"/>
  <c r="AE90"/>
  <c r="AC11"/>
  <c r="AE11"/>
  <c r="AG11"/>
  <c r="AD11"/>
  <c r="AF11"/>
  <c r="AH11"/>
  <c r="AC21"/>
  <c r="AE21"/>
  <c r="AG21"/>
  <c r="AD21"/>
  <c r="AF21"/>
  <c r="AH21"/>
  <c r="AC77"/>
  <c r="AE77"/>
  <c r="AG77"/>
  <c r="AD77"/>
  <c r="AF77"/>
  <c r="AH77"/>
  <c r="AC20"/>
  <c r="AE20"/>
  <c r="AG20"/>
  <c r="AD20"/>
  <c r="AF20"/>
  <c r="AH20"/>
  <c r="AC40"/>
  <c r="AE40"/>
  <c r="AG40"/>
  <c r="AD40"/>
  <c r="AF40"/>
  <c r="AH40"/>
  <c r="AC76"/>
  <c r="AE76"/>
  <c r="AG76"/>
  <c r="AD76"/>
  <c r="AF76"/>
  <c r="AH76"/>
  <c r="AD91"/>
  <c r="AE91"/>
  <c r="AG91"/>
  <c r="AC91"/>
  <c r="AF91"/>
  <c r="AH91"/>
  <c r="AC17"/>
  <c r="AE17"/>
  <c r="AG17"/>
  <c r="AD17"/>
  <c r="AF17"/>
  <c r="AH17"/>
  <c r="AE162"/>
  <c r="AF162"/>
  <c r="AD162"/>
  <c r="AC162"/>
  <c r="AH162"/>
  <c r="AG162"/>
  <c r="AE163"/>
  <c r="M16" i="23" s="1"/>
  <c r="AG163" i="31"/>
  <c r="N16" i="23" s="1"/>
  <c r="AF163" i="31"/>
  <c r="AD163"/>
  <c r="AC163"/>
  <c r="AH163"/>
  <c r="K15" i="23"/>
  <c r="B45" i="28" s="1"/>
  <c r="J17" i="23"/>
  <c r="H17"/>
  <c r="I17"/>
  <c r="G17"/>
  <c r="K17"/>
  <c r="N17"/>
  <c r="C17"/>
  <c r="E17"/>
  <c r="F17"/>
  <c r="D17"/>
  <c r="L17"/>
  <c r="M17"/>
  <c r="C10"/>
  <c r="B32" i="28" s="1"/>
  <c r="K12" i="23"/>
  <c r="B43" i="28" s="1"/>
  <c r="K13" i="23"/>
  <c r="B44" i="28" s="1"/>
  <c r="G14" i="23"/>
  <c r="C11"/>
  <c r="B33" i="28" s="1"/>
  <c r="K16" i="23"/>
  <c r="B46" i="28" s="1"/>
  <c r="I6" i="23"/>
  <c r="AG161" i="31"/>
  <c r="AH161"/>
  <c r="AC161"/>
  <c r="AD161"/>
  <c r="AE161"/>
  <c r="AF161"/>
  <c r="M6" i="23"/>
  <c r="E6"/>
  <c r="L15" l="1"/>
  <c r="N15"/>
  <c r="I45" i="28" s="1"/>
  <c r="L16" i="23"/>
  <c r="G46" i="28" s="1"/>
  <c r="AQ161" i="31"/>
  <c r="CV55" i="37" s="1"/>
  <c r="CY52"/>
  <c r="CY48"/>
  <c r="AR161" i="31"/>
  <c r="CW55" i="37" s="1"/>
  <c r="M15" i="23"/>
  <c r="H45" i="28" s="1"/>
  <c r="CY43" i="37"/>
  <c r="N10" i="23"/>
  <c r="M10"/>
  <c r="L10"/>
  <c r="CX31" i="37"/>
  <c r="CX29"/>
  <c r="CX30"/>
  <c r="O17" i="23"/>
  <c r="J19"/>
  <c r="H19"/>
  <c r="I19"/>
  <c r="G19"/>
  <c r="N19"/>
  <c r="C19"/>
  <c r="K19"/>
  <c r="D19"/>
  <c r="L19"/>
  <c r="M19"/>
  <c r="E19"/>
  <c r="F19"/>
  <c r="J18"/>
  <c r="H18"/>
  <c r="I18"/>
  <c r="G18"/>
  <c r="C18"/>
  <c r="N18"/>
  <c r="K18"/>
  <c r="M18"/>
  <c r="D18"/>
  <c r="E18"/>
  <c r="L18"/>
  <c r="F18"/>
  <c r="D10"/>
  <c r="L12"/>
  <c r="N12"/>
  <c r="N13"/>
  <c r="M13"/>
  <c r="L13"/>
  <c r="E11"/>
  <c r="D11"/>
  <c r="E10"/>
  <c r="M12"/>
  <c r="F10"/>
  <c r="F11"/>
  <c r="B31" i="28"/>
  <c r="B37"/>
  <c r="B42"/>
  <c r="I46"/>
  <c r="H14" i="23"/>
  <c r="J14"/>
  <c r="I14"/>
  <c r="A58" i="32"/>
  <c r="O11" i="23"/>
  <c r="O15"/>
  <c r="O10"/>
  <c r="O14"/>
  <c r="B38" i="28"/>
  <c r="O13" i="23"/>
  <c r="O16"/>
  <c r="O12"/>
  <c r="G45" i="28"/>
  <c r="H46"/>
  <c r="CW38" i="37" l="1"/>
  <c r="O19" i="23"/>
  <c r="O18"/>
  <c r="J20"/>
  <c r="H20"/>
  <c r="I20"/>
  <c r="G20"/>
  <c r="N20"/>
  <c r="C20"/>
  <c r="K20"/>
  <c r="D20"/>
  <c r="L20"/>
  <c r="M20"/>
  <c r="E20"/>
  <c r="F20"/>
  <c r="S3" i="28"/>
  <c r="T3"/>
  <c r="G33"/>
  <c r="G43"/>
  <c r="H32"/>
  <c r="H43"/>
  <c r="I33"/>
  <c r="I32"/>
  <c r="H38"/>
  <c r="I43"/>
  <c r="H44"/>
  <c r="G44"/>
  <c r="G32"/>
  <c r="G38"/>
  <c r="I44"/>
  <c r="I38"/>
  <c r="H33"/>
  <c r="C58" i="32"/>
  <c r="O20" i="23" l="1"/>
  <c r="J22"/>
  <c r="H22"/>
  <c r="I22"/>
  <c r="G22"/>
  <c r="C22"/>
  <c r="N22"/>
  <c r="K22"/>
  <c r="D22"/>
  <c r="E22"/>
  <c r="L22"/>
  <c r="F22"/>
  <c r="M22"/>
  <c r="J21"/>
  <c r="H21"/>
  <c r="I21"/>
  <c r="G21"/>
  <c r="N21"/>
  <c r="K21"/>
  <c r="C21"/>
  <c r="D21"/>
  <c r="L21"/>
  <c r="M21"/>
  <c r="E21"/>
  <c r="F21"/>
  <c r="R1" i="28"/>
  <c r="H55"/>
  <c r="Q1"/>
  <c r="P1"/>
  <c r="Q2"/>
  <c r="P2"/>
  <c r="P3"/>
  <c r="Q3"/>
  <c r="I55"/>
  <c r="R3"/>
  <c r="I55" i="52"/>
  <c r="O21" i="23" l="1"/>
  <c r="J23"/>
  <c r="H23"/>
  <c r="I23"/>
  <c r="G23"/>
  <c r="K23"/>
  <c r="N23"/>
  <c r="C23"/>
  <c r="E23"/>
  <c r="F23"/>
  <c r="D23"/>
  <c r="L23"/>
  <c r="M23"/>
  <c r="O22"/>
  <c r="J24" l="1"/>
  <c r="H24"/>
  <c r="I24"/>
  <c r="G24"/>
  <c r="C24"/>
  <c r="K24"/>
  <c r="N24"/>
  <c r="E24"/>
  <c r="F24"/>
  <c r="D24"/>
  <c r="L24"/>
  <c r="M24"/>
  <c r="O23"/>
  <c r="J25" l="1"/>
  <c r="H25"/>
  <c r="I25"/>
  <c r="G25"/>
  <c r="K25"/>
  <c r="N25"/>
  <c r="C25"/>
  <c r="E25"/>
  <c r="F25"/>
  <c r="D25"/>
  <c r="L25"/>
  <c r="M25"/>
  <c r="O24"/>
  <c r="O25" l="1"/>
  <c r="AX15" i="37" l="1"/>
  <c r="CW22"/>
  <c r="C60" i="32"/>
  <c r="A60"/>
</calcChain>
</file>

<file path=xl/comments1.xml><?xml version="1.0" encoding="utf-8"?>
<comments xmlns="http://schemas.openxmlformats.org/spreadsheetml/2006/main">
  <authors>
    <author>Roger Kagan</author>
  </authors>
  <commentList>
    <comment ref="B3" authorId="0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H54" authorId="0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>
  <authors>
    <author>Roger Kagan</author>
  </authors>
  <commentList>
    <comment ref="B3" authorId="0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H54" authorId="0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3.xml><?xml version="1.0" encoding="utf-8"?>
<comments xmlns="http://schemas.openxmlformats.org/spreadsheetml/2006/main">
  <authors>
    <author>Stephane</author>
  </authors>
  <commentList>
    <comment ref="CV22" authorId="0">
      <text>
        <r>
          <rPr>
            <b/>
            <sz val="9"/>
            <color indexed="81"/>
            <rFont val="Tahoma"/>
            <family val="2"/>
          </rPr>
          <t>Stephane:</t>
        </r>
        <r>
          <rPr>
            <sz val="9"/>
            <color indexed="81"/>
            <rFont val="Tahoma"/>
            <family val="2"/>
          </rPr>
          <t xml:space="preserve">
Il calcolo automatico dei cartoni funziona se si rispetta la regola seguente:
- Non si mischiano referenze né per prodotti normali né per i testers
Quindi se si avrà una spedizione con 3 testers di una referenza e 4 testers di un'altra li si metteranno in due cartoni differenti.</t>
        </r>
      </text>
    </comment>
  </commentList>
</comments>
</file>

<file path=xl/sharedStrings.xml><?xml version="1.0" encoding="utf-8"?>
<sst xmlns="http://schemas.openxmlformats.org/spreadsheetml/2006/main" count="5553" uniqueCount="1316">
  <si>
    <t>sku</t>
  </si>
  <si>
    <t>category</t>
  </si>
  <si>
    <t>nr_of_products</t>
  </si>
  <si>
    <t>sex</t>
  </si>
  <si>
    <t>ean</t>
  </si>
  <si>
    <t>hs_code</t>
  </si>
  <si>
    <t>description</t>
  </si>
  <si>
    <t>unit</t>
  </si>
  <si>
    <t>units_per_carton</t>
  </si>
  <si>
    <t>box_per_pallet</t>
  </si>
  <si>
    <t>box_per_layer</t>
  </si>
  <si>
    <t>layers_per_pallet</t>
  </si>
  <si>
    <t>lenght</t>
  </si>
  <si>
    <t>width</t>
  </si>
  <si>
    <t>height</t>
  </si>
  <si>
    <t>net_weight</t>
  </si>
  <si>
    <t>gross_weight</t>
  </si>
  <si>
    <t>size12</t>
  </si>
  <si>
    <t>size22</t>
  </si>
  <si>
    <t>size3</t>
  </si>
  <si>
    <t>product1_weight</t>
  </si>
  <si>
    <t>product2_weight</t>
  </si>
  <si>
    <t>product3_weight</t>
  </si>
  <si>
    <t>product4_weight</t>
  </si>
  <si>
    <t>country_of_origin</t>
  </si>
  <si>
    <t>normal_boxes</t>
  </si>
  <si>
    <t>testers_boxes</t>
  </si>
  <si>
    <t>unit_net_weight</t>
  </si>
  <si>
    <t>unit_net_weight2</t>
  </si>
  <si>
    <t>unit_gross_weight</t>
  </si>
  <si>
    <t>unit_gross_weight2</t>
  </si>
  <si>
    <t>cbm</t>
  </si>
  <si>
    <t>cbm2</t>
  </si>
  <si>
    <t>order</t>
  </si>
  <si>
    <t>foc_order</t>
  </si>
  <si>
    <t>tot_order</t>
  </si>
  <si>
    <t>GS5008</t>
  </si>
  <si>
    <t>GIFTSET</t>
  </si>
  <si>
    <t>MAN</t>
  </si>
  <si>
    <t>BHPC GIFT SET SPORT MEN 1 EDT 50ML + DEO 175ML</t>
  </si>
  <si>
    <t>GIFT</t>
  </si>
  <si>
    <t>SPAIN</t>
  </si>
  <si>
    <t>GS5009</t>
  </si>
  <si>
    <t>BHPC GIFT SET SPORT MEN 9 EDT 50ML + DEO 175ML</t>
  </si>
  <si>
    <t>GS5010</t>
  </si>
  <si>
    <t>BHPC GIFT SET SPORT MEN 8 EDT 50ML + DEO 175ML</t>
  </si>
  <si>
    <t>GS5011</t>
  </si>
  <si>
    <t>BHPC GIFT SET SPORT MEN 2 EDT 50ML + DEO 175ML</t>
  </si>
  <si>
    <t>GS5028</t>
  </si>
  <si>
    <t>WOMAN</t>
  </si>
  <si>
    <t>BHPC GIFT SET WOMEN 1 EDP 50ML + DEO 150ML</t>
  </si>
  <si>
    <t>GS5029</t>
  </si>
  <si>
    <t>BHPC GIFT SET WOMEN 9 EDP 50ML + DEO 150ML</t>
  </si>
  <si>
    <t>GS5030</t>
  </si>
  <si>
    <t>BHPC GIFT SET WOMEN 8 EDP 50ML + DEO 150ML</t>
  </si>
  <si>
    <t>GS5031</t>
  </si>
  <si>
    <t>BHPC GIFT SET WOMEN 2 EDP 50ML + DEO 150ML</t>
  </si>
  <si>
    <t>GS7020</t>
  </si>
  <si>
    <t>BHPC GIFT SET MEN #1 EDT50ML+DEO175ML+ROLLON50ML</t>
  </si>
  <si>
    <t>GS7021</t>
  </si>
  <si>
    <t>BHPC GIFT SET MEN #9 EDT50ML+DEO175ML+ROLLON50ML</t>
  </si>
  <si>
    <t>GS7022</t>
  </si>
  <si>
    <t>BHPC GIFT SET MEN #8 EDT50ML+DEO175ML+ROLLON50ML</t>
  </si>
  <si>
    <t>GS7023</t>
  </si>
  <si>
    <t>BHPC GIFT SET MEN #2 EDT50ML+DEO175ML+ROLLON50ML</t>
  </si>
  <si>
    <t>GS7024</t>
  </si>
  <si>
    <t>BHPC GIFT SET WOMEN #1 EDP50ML+DEO150ML+ROLLON50ML</t>
  </si>
  <si>
    <t>GS7025</t>
  </si>
  <si>
    <t>BHPC GIFT SET WOMEN #9 EDP50ML+DEO150ML+ROLLON50ML</t>
  </si>
  <si>
    <t>GS7026</t>
  </si>
  <si>
    <t>BHPC GIFT SET WOMEN #8 EDP50ML+DEO150ML+ROLLON50ML</t>
  </si>
  <si>
    <t>GS7027</t>
  </si>
  <si>
    <t>BHPC GIFT SET WOMEN #2 EDP50ML+DEO150ML+ROLLON50ML</t>
  </si>
  <si>
    <t>P05008</t>
  </si>
  <si>
    <t>MASTIGE</t>
  </si>
  <si>
    <t>33030010</t>
  </si>
  <si>
    <t>BHPC SPORT MEN 1 EDT 50ML</t>
  </si>
  <si>
    <t>BOTTLE</t>
  </si>
  <si>
    <t>P05009</t>
  </si>
  <si>
    <t>BHPC SPORT MEN 9 EDT 50ML</t>
  </si>
  <si>
    <t>P05010</t>
  </si>
  <si>
    <t>BHPC SPORT MEN 8 EDT 50ML</t>
  </si>
  <si>
    <t>P05011</t>
  </si>
  <si>
    <t>BHPC SPORT MEN 2 EDT 50ML</t>
  </si>
  <si>
    <t>P05028</t>
  </si>
  <si>
    <t>BHPC WOMEN 1 EDP 50ML</t>
  </si>
  <si>
    <t>P05029</t>
  </si>
  <si>
    <t>BHPC WOMEN 9 EDP 50ML</t>
  </si>
  <si>
    <t>P05030</t>
  </si>
  <si>
    <t>BHPC WOMEN 8 EDP 50ML</t>
  </si>
  <si>
    <t>P05031</t>
  </si>
  <si>
    <t>BHPC WOMEN 2 EDP 50ML</t>
  </si>
  <si>
    <t>GS5004</t>
  </si>
  <si>
    <t>BHPC GIFT SET SPORT MEN 1 EDT 100ML + DEO 175ML</t>
  </si>
  <si>
    <t>GS5005</t>
  </si>
  <si>
    <t>BHPC GIFT SET SPORT MEN 9 EDT 100ML + DEO 175ML</t>
  </si>
  <si>
    <t>GS5006</t>
  </si>
  <si>
    <t>BHPC GIFT SET SPORT MEN 8 EDT 100ML + DEO 175ML</t>
  </si>
  <si>
    <t>GS5007</t>
  </si>
  <si>
    <t>BHPC GIFT SET SPORT MEN 2 EDT 100ML + DEO 175ML</t>
  </si>
  <si>
    <t>GS5050</t>
  </si>
  <si>
    <t>BHPC GIFT SET WOMEN 1 EDP 100ML + DEO 150ML</t>
  </si>
  <si>
    <t>GS5051</t>
  </si>
  <si>
    <t>BHPC GIFT SET WOMEN 9 EDP 100ML + DEO 150ML</t>
  </si>
  <si>
    <t>GS5052</t>
  </si>
  <si>
    <t>BHPC GIFT SET WOMEN 8 EDP 100ML + DEO 150ML</t>
  </si>
  <si>
    <t>GS5053</t>
  </si>
  <si>
    <t>BHPC GIFT SET WOMEN 2 EDP 100ML + DEO 150ML</t>
  </si>
  <si>
    <t>GSTRO3</t>
  </si>
  <si>
    <t xml:space="preserve">BHPC GIFTSET PRESTIGE TROPHY EDP100ML + DEO 300ML </t>
  </si>
  <si>
    <t xml:space="preserve">BHPC GIFTSET PRESTIGE ELEGANCE EDP100ML + DEO 250ML </t>
  </si>
  <si>
    <t>P05004</t>
  </si>
  <si>
    <t>BHPC SPORT MEN 1 EDT 100ML</t>
  </si>
  <si>
    <t>P05005</t>
  </si>
  <si>
    <t>BHPC SPORT MEN 9 EDT 100ML</t>
  </si>
  <si>
    <t>P05006</t>
  </si>
  <si>
    <t>BHPC SPORT MEN 8 EDT 100ML</t>
  </si>
  <si>
    <t>P05007</t>
  </si>
  <si>
    <t>BHPC SPORT MEN 2 EDT 100ML</t>
  </si>
  <si>
    <t>P05050</t>
  </si>
  <si>
    <t>BHPC WOMEN 1 EDP 100ML</t>
  </si>
  <si>
    <t>P05051</t>
  </si>
  <si>
    <t>BHPC WOMEN 9 EDP 100ML</t>
  </si>
  <si>
    <t>P05052</t>
  </si>
  <si>
    <t>BHPC WOMEN 8 EDP 100ML</t>
  </si>
  <si>
    <t>P05053</t>
  </si>
  <si>
    <t>BHPC WOMEN 2 EDP 100ML</t>
  </si>
  <si>
    <t>P06000</t>
  </si>
  <si>
    <t>PRESTIGE</t>
  </si>
  <si>
    <t>BHPC PRESTIGE TROPHY 100ML EDP MEN</t>
  </si>
  <si>
    <t>P06001</t>
  </si>
  <si>
    <t>BHPC PRESTIGE HERITAGE OUD 100ML EDP MEN</t>
  </si>
  <si>
    <t>P06002</t>
  </si>
  <si>
    <t>BHPC PRESTIGE TOUR 100ML EDP MEN</t>
  </si>
  <si>
    <t>P06003</t>
  </si>
  <si>
    <t>BHPC PRESTIGE TITAN 100ML EDP MEN</t>
  </si>
  <si>
    <t>P06004</t>
  </si>
  <si>
    <t>BHPC PRESTIGE ELEGANCE 100ML EDP WOMEN</t>
  </si>
  <si>
    <t>P06005</t>
  </si>
  <si>
    <t>BHPC PRESTIGE CHALLENGE 100ML EDP WOMEN</t>
  </si>
  <si>
    <t>P06006</t>
  </si>
  <si>
    <t>BHPC PRESTIGE MYSTIQUE 100ML EDP WOMEN</t>
  </si>
  <si>
    <t>P06007</t>
  </si>
  <si>
    <t>BHPC PRESTIGE PASSION 100ML EDP WOMEN</t>
  </si>
  <si>
    <t>PT6000</t>
  </si>
  <si>
    <t>TESTER</t>
  </si>
  <si>
    <t>BHPC TESTERS TROPHY 100ML EDP MEN</t>
  </si>
  <si>
    <t>PT6001</t>
  </si>
  <si>
    <t>BHPC TESTERS HERITAGE OUD 100ML EDP MEN</t>
  </si>
  <si>
    <t>PT6002</t>
  </si>
  <si>
    <t>BHPC TESTERS TOUR 100ML EDP MEN</t>
  </si>
  <si>
    <t>PT6003</t>
  </si>
  <si>
    <t>BHPC TESTERS TITAN 100ML EDP MEN</t>
  </si>
  <si>
    <t>PT6004</t>
  </si>
  <si>
    <t>BHPC TESTERS ELEGANCE 100ML EDP WOMEN</t>
  </si>
  <si>
    <t>PT6005</t>
  </si>
  <si>
    <t>BHPC TESTERS CHALLENGE 100ML EDP WOMEN</t>
  </si>
  <si>
    <t>PT6006</t>
  </si>
  <si>
    <t>BHPC TESTERS MYSTIQUE 100ML EDP WOMEN</t>
  </si>
  <si>
    <t>PT6007</t>
  </si>
  <si>
    <t>BHPC TESTERS PASSION 100ML EDP WOMEN</t>
  </si>
  <si>
    <t>P06020</t>
  </si>
  <si>
    <t>BHPC PRESTIGE KNIGHT 100ML EDP MEN</t>
  </si>
  <si>
    <t>P06021</t>
  </si>
  <si>
    <t>BHPC PRESTIGE ROYALE 100ML EDP MEN</t>
  </si>
  <si>
    <t>PT6020</t>
  </si>
  <si>
    <t>BHPC TESTERS KNIGHT 100ML EDP MEN</t>
  </si>
  <si>
    <t>PT6021</t>
  </si>
  <si>
    <t>BHPC TESTERS ROYALE 100ML EDP MEN</t>
  </si>
  <si>
    <t>P05024</t>
  </si>
  <si>
    <t>DEODORANT</t>
  </si>
  <si>
    <t>33072000</t>
  </si>
  <si>
    <t>BHPC WOMEN 1 DEO 150ML</t>
  </si>
  <si>
    <t>CAN</t>
  </si>
  <si>
    <t>P05025</t>
  </si>
  <si>
    <t>BHPC WOMEN 9 DEO 150ML</t>
  </si>
  <si>
    <t>P05026</t>
  </si>
  <si>
    <t>BHPC WOMEN 8 DEO 150ML</t>
  </si>
  <si>
    <t>P05027</t>
  </si>
  <si>
    <t>BHPC WOMEN 2 DEO 150ML</t>
  </si>
  <si>
    <t>P05000</t>
  </si>
  <si>
    <t>BHPC SPORT MEN 1 DEO 175ML</t>
  </si>
  <si>
    <t>P05001</t>
  </si>
  <si>
    <t>BHPC SPORT MEN 9 DEO 175ML</t>
  </si>
  <si>
    <t>P05002</t>
  </si>
  <si>
    <t>BHPC SPORT MEN 8 DEO 175ML</t>
  </si>
  <si>
    <t>P05003</t>
  </si>
  <si>
    <t>BHPC SPORT MEN 2 DEO 175ML</t>
  </si>
  <si>
    <t>PBM001</t>
  </si>
  <si>
    <t>BODYMIST</t>
  </si>
  <si>
    <t>33030090</t>
  </si>
  <si>
    <t>BHPC WOMEN BODY MIST #1 EVOKING GARDENIA 200ML</t>
  </si>
  <si>
    <t>INDIA</t>
  </si>
  <si>
    <t>PBM002</t>
  </si>
  <si>
    <t>BHPC WOMEN BODY MIST #2 CLASSIC FOUGERE 200ML</t>
  </si>
  <si>
    <t>PBM008</t>
  </si>
  <si>
    <t>BHPC WOMEN BODY MIST #8 EXOTIC FRAGRANCE 200ML</t>
  </si>
  <si>
    <t>PBM009</t>
  </si>
  <si>
    <t>BHPC WOMEN BODY MIST #9 SPARKING FLORAL 200ML</t>
  </si>
  <si>
    <t>BHPC PRESTIGE ELEGANCE DEO 250ML</t>
  </si>
  <si>
    <t>BHPC PRESTIGE TROPHY DEO 300ML</t>
  </si>
  <si>
    <t>P07000</t>
  </si>
  <si>
    <t>ROLL-ON</t>
  </si>
  <si>
    <t>BHPC MEN ROLL-ON 1 50ML</t>
  </si>
  <si>
    <t>P07001</t>
  </si>
  <si>
    <t>BHPC MEN ROLL-ON 9 50ML</t>
  </si>
  <si>
    <t>P07002</t>
  </si>
  <si>
    <t>BHPC MEN ROLL-ON 8 50ML</t>
  </si>
  <si>
    <t>P07003</t>
  </si>
  <si>
    <t>BHPC MEN ROLL-ON 2 50ML</t>
  </si>
  <si>
    <t>GSTM12</t>
  </si>
  <si>
    <t>BHPC TWINPACK SPORTS MEN DEO #1 #2 175ML</t>
  </si>
  <si>
    <t>GSTM18</t>
  </si>
  <si>
    <t>BHPC TWINPACK SPORTS MEN DEO #1 #8 175ML</t>
  </si>
  <si>
    <t>GSTM19</t>
  </si>
  <si>
    <t>BHPC TWINPACK SPORTS MEN DEO #1 #9 175ML</t>
  </si>
  <si>
    <t>GSTM28</t>
  </si>
  <si>
    <t>BHPC TWINPACK SPORTS MEN DEO #2 #8 175ML</t>
  </si>
  <si>
    <t>GSTM29</t>
  </si>
  <si>
    <t>BHPC TWINPACK SPORTS MEN DEO #2 #9 175ML</t>
  </si>
  <si>
    <t>GSTM89</t>
  </si>
  <si>
    <t>BHPC TWINPACK SPORTS MEN DEO #8 #9 175ML</t>
  </si>
  <si>
    <t>GSTW18</t>
  </si>
  <si>
    <t>BHPC TWINPACK DEO WOMEN #1 #8 150ML</t>
  </si>
  <si>
    <t>GSTW19</t>
  </si>
  <si>
    <t>BHPC TWINPACK DEO WOMEN #1 #9 150ML</t>
  </si>
  <si>
    <t>GSTW89</t>
  </si>
  <si>
    <t>BHPC TWINPACK DEO WOMEN #8 #9 150ML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</si>
  <si>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</si>
  <si>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</si>
  <si>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</si>
  <si>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</si>
  <si>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</si>
  <si>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</si>
  <si>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</si>
  <si>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</si>
  <si>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logistic_address4</t>
  </si>
  <si>
    <t>hq_address1</t>
  </si>
  <si>
    <t>hq_address2</t>
  </si>
  <si>
    <t>hq_address3</t>
  </si>
  <si>
    <t>vat_no</t>
  </si>
  <si>
    <t>payment_method</t>
  </si>
  <si>
    <t>incoterms</t>
  </si>
  <si>
    <t>currency</t>
  </si>
  <si>
    <t>vat_code</t>
  </si>
  <si>
    <t>legal_references</t>
  </si>
  <si>
    <t>notes</t>
  </si>
  <si>
    <t>4BEAUTY4YOU</t>
  </si>
  <si>
    <t>POLAND</t>
  </si>
  <si>
    <t>4BEAUTY 4YOU SP. Z O. O. SP. K.</t>
  </si>
  <si>
    <t>UL. WIOSNY LUDÓW 21</t>
  </si>
  <si>
    <t>44-321 MARKLOWICE</t>
  </si>
  <si>
    <t>POLSKA / POLAND</t>
  </si>
  <si>
    <t>UL. KOLEJOWA 2/1</t>
  </si>
  <si>
    <t>44-230 CZERWIONKA - LESZCZYNY</t>
  </si>
  <si>
    <t>PL6423224141</t>
  </si>
  <si>
    <t>024 - IN ADVANCE</t>
  </si>
  <si>
    <t>FOT VENTIMIGLIA - ITALY</t>
  </si>
  <si>
    <t>EUR</t>
  </si>
  <si>
    <t>061</t>
  </si>
  <si>
    <t>CESS. CEE AR. 41 L 427</t>
  </si>
  <si>
    <t>A&amp;A DISTRIBUTION</t>
  </si>
  <si>
    <t>ROMANIA</t>
  </si>
  <si>
    <t>HEALTH &amp; BEAUTY LOGISTICS O/B</t>
  </si>
  <si>
    <t>A&amp;A DISTRIBUTION ANSWER</t>
  </si>
  <si>
    <t>AUTOSTRADA A1 BUCURESTI PITESTI KM13</t>
  </si>
  <si>
    <t>CLADIREA BUCH 6, UNIT F, RAMPA 1, 2, 3</t>
  </si>
  <si>
    <t>CTPARK BUCHAREST 6, SAT DRAGOMIRESTI</t>
  </si>
  <si>
    <t>DIMITRIE CANTEMIR 1, B2 BUILING, 3RD ENTRANCE</t>
  </si>
  <si>
    <t>4TH FLOOR, BUCHAREST - ROMANIA</t>
  </si>
  <si>
    <t>RO44479488</t>
  </si>
  <si>
    <t>A&amp;G KLEIMA</t>
  </si>
  <si>
    <t>CYPRUS</t>
  </si>
  <si>
    <t>"BANCO DESIO" - IBAN: IT 59 M 03440 49110 000047251833 - SWIFT : BDBDIT22 - BENEFICIARY : COPPO 1896 S.P.A.</t>
  </si>
  <si>
    <t>A &amp; G KLEIMA IMPORT EXPORT LIMITED</t>
  </si>
  <si>
    <t>2 AYIOU ATHANASIOU</t>
  </si>
  <si>
    <t>7102 ARADIPPOU LARNACA</t>
  </si>
  <si>
    <t xml:space="preserve">CYPRUS </t>
  </si>
  <si>
    <t>CY99000130O</t>
  </si>
  <si>
    <t>ABU SHAKRA</t>
  </si>
  <si>
    <t>JORDAN</t>
  </si>
  <si>
    <t>ABU SHAKRA TRADING COMPANY</t>
  </si>
  <si>
    <t>BAYDER WADI AL SEER</t>
  </si>
  <si>
    <t>P.O.BOX 6971</t>
  </si>
  <si>
    <t>AMMAN 11118 JORDAN</t>
  </si>
  <si>
    <t>USD</t>
  </si>
  <si>
    <t>053</t>
  </si>
  <si>
    <t>NON IMPONIBILE ART.8</t>
  </si>
  <si>
    <t>ACADEMY GROUP</t>
  </si>
  <si>
    <t>GEORGIA</t>
  </si>
  <si>
    <t>"BANCO BPM" - IBAN: IT 98 R 05034 10500 000000000813 - (BIC)  SWIFT: BAPPIT22</t>
  </si>
  <si>
    <t xml:space="preserve">ACADEMY GROUP LLC </t>
  </si>
  <si>
    <t>87 E, AKAKI TSERETELI AVE</t>
  </si>
  <si>
    <t>0119 TBILISI, GEORGIA</t>
  </si>
  <si>
    <t>TBILISI 0179, GEORGIA</t>
  </si>
  <si>
    <t>APPAREL FZCO</t>
  </si>
  <si>
    <t>UAE</t>
  </si>
  <si>
    <t>JAFZA - DUBAI</t>
  </si>
  <si>
    <t>UNITED ARAB EMIRATES</t>
  </si>
  <si>
    <t>BACHER &amp; CO</t>
  </si>
  <si>
    <t>SOUTH AFRICA</t>
  </si>
  <si>
    <t>S BACHER AND COMPANY (PTY) LTD</t>
  </si>
  <si>
    <t>PO BOX 29296</t>
  </si>
  <si>
    <t>SANDRINGHAM, GAUTENG, 2131,</t>
  </si>
  <si>
    <t>2131 SANDRINGHAM, SOUTH AFRICA</t>
  </si>
  <si>
    <t>30% AGAINST PROFORMA 70% AT 60 DAYS FROM INVOICE DATE</t>
  </si>
  <si>
    <t>BEAUTIFUL DISTRIBUIDORA</t>
  </si>
  <si>
    <t>BRAZIL</t>
  </si>
  <si>
    <t>BEAUTIFUL DISTRIBUIDORA E VARIACOES LTDA</t>
  </si>
  <si>
    <t>ROD GOVERNADOR MÁRIO COVAS, 1941</t>
  </si>
  <si>
    <t>BEAUTY &amp; LUXURY</t>
  </si>
  <si>
    <t>ITALY</t>
  </si>
  <si>
    <t>BEAUTY AND LUXURY SPA</t>
  </si>
  <si>
    <t>VIA VIENNA, 6</t>
  </si>
  <si>
    <t>43010 FONTEVIVO (PR)</t>
  </si>
  <si>
    <t>VIA ALESSANDRO MANZONI 38</t>
  </si>
  <si>
    <t>20121 MILANO, ITALIA</t>
  </si>
  <si>
    <t>IT08169740969</t>
  </si>
  <si>
    <t>50% AGAINST PROFORMA INVOICE - 50% BEFORE SHIPMENT</t>
  </si>
  <si>
    <t>022</t>
  </si>
  <si>
    <t>ALIQUOTA 22%</t>
  </si>
  <si>
    <t>BHPC BELGIUM</t>
  </si>
  <si>
    <t>BELGIUM</t>
  </si>
  <si>
    <t>BHPC LIFESTYLE FZE</t>
  </si>
  <si>
    <t xml:space="preserve">UL. WIOSNY LUDOW 21 </t>
  </si>
  <si>
    <t>PL, 44-321 MARKLOWICE</t>
  </si>
  <si>
    <t>B-2060 ANTWERP - BELGIUM</t>
  </si>
  <si>
    <t>BE0746419651</t>
  </si>
  <si>
    <t>019 - NET120</t>
  </si>
  <si>
    <t>BHPC DUBAI</t>
  </si>
  <si>
    <t>BEVERLY HILLS POLO CLUB FZCO</t>
  </si>
  <si>
    <t xml:space="preserve">LIU BUILDING 4, OFFICE A7, </t>
  </si>
  <si>
    <t>P.O.BOX. 938558, DUBAI SILICON OASIS</t>
  </si>
  <si>
    <t>DUBAI, UNITED ARAB EMIRATES</t>
  </si>
  <si>
    <t>DUBAI SILICON OASIS</t>
  </si>
  <si>
    <t>P.O. BOX 938558 - DUBAI - U.A.E.</t>
  </si>
  <si>
    <t>BHPC ISTANBUL</t>
  </si>
  <si>
    <t>TURKEY</t>
  </si>
  <si>
    <t xml:space="preserve">BHPC ISTANBUL </t>
  </si>
  <si>
    <t>GİYİM SANAYİ ANONİM ŞİRKETİ</t>
  </si>
  <si>
    <t>C&amp;F INSTANBUL - TURKEY</t>
  </si>
  <si>
    <t>GERMANY</t>
  </si>
  <si>
    <t>BRASMARK CORP.</t>
  </si>
  <si>
    <t>BRITISH GUYANA</t>
  </si>
  <si>
    <t>CIELOMED</t>
  </si>
  <si>
    <t>MALTA</t>
  </si>
  <si>
    <t>CIELOMED ENTERPRISES LTD</t>
  </si>
  <si>
    <t>33, PAUL &amp; WATERS</t>
  </si>
  <si>
    <t>TRIQ IL-KARMELITANI</t>
  </si>
  <si>
    <t>FGURA, MALTA</t>
  </si>
  <si>
    <t>MT11556301</t>
  </si>
  <si>
    <t>DIACOSMO</t>
  </si>
  <si>
    <t>DIACOSMO BELGIUM NV</t>
  </si>
  <si>
    <t>BE0436751606</t>
  </si>
  <si>
    <t>DRUNI</t>
  </si>
  <si>
    <t>"INTESA SANPAOLO SPA" - IBAN: IT15 I030 6949 1101 0000 0009 776 - (BIC)  SWIFT: BCITITMM</t>
  </si>
  <si>
    <t>DRUNI, S.A.</t>
  </si>
  <si>
    <t>CALLE LEVANTE, 24</t>
  </si>
  <si>
    <t>P.I. "CIUTAT DE CARLET"</t>
  </si>
  <si>
    <t>46240 VALENCIA, SPAIN</t>
  </si>
  <si>
    <t>ESA46581666</t>
  </si>
  <si>
    <t>DUNSTAN</t>
  </si>
  <si>
    <t>DENMARK</t>
  </si>
  <si>
    <t>DUNSTAN APS</t>
  </si>
  <si>
    <t>DK37860441</t>
  </si>
  <si>
    <t>ESSENCE CORP.</t>
  </si>
  <si>
    <t>CARIBBEAN</t>
  </si>
  <si>
    <t>FACES GROUP</t>
  </si>
  <si>
    <t>GLOBAL BEAUTY</t>
  </si>
  <si>
    <t>EXW VENTIMIGLIA - ITALY</t>
  </si>
  <si>
    <t>HEALTH &amp; BEAUTY INT.</t>
  </si>
  <si>
    <t>ILM</t>
  </si>
  <si>
    <t>CHILE</t>
  </si>
  <si>
    <t>INTERNATIONAL CELEBRITY BRANDS</t>
  </si>
  <si>
    <t>GREECE</t>
  </si>
  <si>
    <t>LINDO CHAIN</t>
  </si>
  <si>
    <t>ISRAEL</t>
  </si>
  <si>
    <t>DE339569838</t>
  </si>
  <si>
    <t>NET30</t>
  </si>
  <si>
    <t>CIP HAMBURG, GERMANY</t>
  </si>
  <si>
    <t>MÖRTH &amp; MÖRTH</t>
  </si>
  <si>
    <t>AUSTRIA</t>
  </si>
  <si>
    <t>NORDIC</t>
  </si>
  <si>
    <t>ORCOS</t>
  </si>
  <si>
    <t>MONTENEGRO</t>
  </si>
  <si>
    <t>PARFUMOOV</t>
  </si>
  <si>
    <t>FRANCE</t>
  </si>
  <si>
    <t>PER SCENT</t>
  </si>
  <si>
    <t>PRESTIGE BRANDS</t>
  </si>
  <si>
    <t>EL800758437</t>
  </si>
  <si>
    <t>RENALKO KAUBANDUS</t>
  </si>
  <si>
    <t>ESTONIA</t>
  </si>
  <si>
    <t>SIBO</t>
  </si>
  <si>
    <t>HUNGARY</t>
  </si>
  <si>
    <t>SIGMA</t>
  </si>
  <si>
    <t>PARAGUAY</t>
  </si>
  <si>
    <t>SOLVENT</t>
  </si>
  <si>
    <t>CZECH REP.</t>
  </si>
  <si>
    <t>SPANISH MARKET</t>
  </si>
  <si>
    <t>BOSNIA</t>
  </si>
  <si>
    <t>SPRINGNET</t>
  </si>
  <si>
    <t>TRIADA MARKET</t>
  </si>
  <si>
    <t>BULGARY</t>
  </si>
  <si>
    <t>UNIZEN FZCO</t>
  </si>
  <si>
    <t>RUSSIA</t>
  </si>
  <si>
    <t>WORDIS</t>
  </si>
  <si>
    <t>MAROCCO</t>
  </si>
  <si>
    <t>categorie</t>
  </si>
  <si>
    <t>bodymist</t>
  </si>
  <si>
    <t>profumi</t>
  </si>
  <si>
    <t>deodoranti</t>
  </si>
  <si>
    <t>normal</t>
  </si>
  <si>
    <t>foc</t>
  </si>
  <si>
    <t>total</t>
  </si>
  <si>
    <t>boxes</t>
  </si>
  <si>
    <t>size</t>
  </si>
  <si>
    <t>bottles</t>
  </si>
  <si>
    <t>net</t>
  </si>
  <si>
    <t>gross</t>
  </si>
  <si>
    <t>m3</t>
  </si>
  <si>
    <t>tot bottles</t>
  </si>
  <si>
    <t>PROBLEMI DA RISOLVERE</t>
  </si>
  <si>
    <t>Dinamicità della tabella. Cosa succede se aggiungo un prodotto con una nuova size? Tutto funziona?</t>
  </si>
  <si>
    <t>Cosa succede se aggiungo una nuova classe di rischio? Tutto funziona?</t>
  </si>
  <si>
    <t>Cosa succede se aggiungo una categoria?</t>
  </si>
  <si>
    <t>Le categoria nella riga 3 dovrebbero essere dinamiche.</t>
  </si>
  <si>
    <t>order_no</t>
  </si>
  <si>
    <t>qty</t>
  </si>
  <si>
    <t>disc_qty</t>
  </si>
  <si>
    <t>disc_price</t>
  </si>
  <si>
    <t>foc_qty</t>
  </si>
  <si>
    <t>cost_price</t>
  </si>
  <si>
    <t>CLIENT DETAILS</t>
  </si>
  <si>
    <t>LOGISTIC DETAILS</t>
  </si>
  <si>
    <t>FINANCIAL DETAILS</t>
  </si>
  <si>
    <t>order_date</t>
  </si>
  <si>
    <t>customer</t>
  </si>
  <si>
    <t>exchange_rate</t>
  </si>
  <si>
    <t>carton_no</t>
  </si>
  <si>
    <t>pallet_type</t>
  </si>
  <si>
    <t>pallet_no</t>
  </si>
  <si>
    <t>pallet_cost</t>
  </si>
  <si>
    <t>pallet_mov_cost</t>
  </si>
  <si>
    <t>logistic_notes</t>
  </si>
  <si>
    <t>carrier_name</t>
  </si>
  <si>
    <t>carrier_cost</t>
  </si>
  <si>
    <t>on_bhpc_behalf</t>
  </si>
  <si>
    <t>status</t>
  </si>
  <si>
    <t>sub_status</t>
  </si>
  <si>
    <t>invoice_no</t>
  </si>
  <si>
    <t>invoice_date</t>
  </si>
  <si>
    <t>payment_type</t>
  </si>
  <si>
    <t>payment_date</t>
  </si>
  <si>
    <t>payed</t>
  </si>
  <si>
    <t>cost_of_goods</t>
  </si>
  <si>
    <t>amount_sold</t>
  </si>
  <si>
    <t>profit</t>
  </si>
  <si>
    <t>labour_hours</t>
  </si>
  <si>
    <t>labour_cost_per_hour</t>
  </si>
  <si>
    <t>labour_cost_desc</t>
  </si>
  <si>
    <t>other_hours</t>
  </si>
  <si>
    <t>other_cost_per_hour</t>
  </si>
  <si>
    <t>other_cost_desc</t>
  </si>
  <si>
    <t>order_notes</t>
  </si>
  <si>
    <t>shipping_method</t>
  </si>
  <si>
    <t>accountable</t>
  </si>
  <si>
    <t>Documents Ready</t>
  </si>
  <si>
    <t>Pallets Ready</t>
  </si>
  <si>
    <t>ON WAITING</t>
  </si>
  <si>
    <t>Order Confirmed</t>
  </si>
  <si>
    <t>DELIVERED</t>
  </si>
  <si>
    <t>Closed</t>
  </si>
  <si>
    <t>order_id</t>
  </si>
  <si>
    <t>labor_costs</t>
  </si>
  <si>
    <t>labor_costs_desc</t>
  </si>
  <si>
    <t>other_costs</t>
  </si>
  <si>
    <t>other_costs_desc</t>
  </si>
  <si>
    <t>BHPC</t>
  </si>
  <si>
    <t>100X120</t>
  </si>
  <si>
    <t>ARTICOLO</t>
  </si>
  <si>
    <t>DESCRIZIONE</t>
  </si>
  <si>
    <t>U.M.</t>
  </si>
  <si>
    <t>ESISTENZA</t>
  </si>
  <si>
    <t>COSTO UNITARIO</t>
  </si>
  <si>
    <t>COSTO GLOBALE</t>
  </si>
  <si>
    <t>PZ</t>
  </si>
  <si>
    <t>GS5068</t>
  </si>
  <si>
    <t>BHPC GIFT SET SPORT MEN 1 EDT 50ML + ROLL-ON 50ML</t>
  </si>
  <si>
    <t>GS5072</t>
  </si>
  <si>
    <t>BHPC GIFT SET WOMEN 1 EDP 50ML + ROLL-ON 50ML</t>
  </si>
  <si>
    <t>BHPC 3PCS GIFT SET MEN #1 EDT50ML+DEO175ML+ROLLON50ML</t>
  </si>
  <si>
    <t>BHPC 3PCS GIFT SET MEN #9 EDT50ML+DEO175ML+ROLLON50ML</t>
  </si>
  <si>
    <t>BHPC 3PCS GIFT SET MEN #8 EDT50ML+DEO175ML+ROLLON50ML</t>
  </si>
  <si>
    <t>BHPC 3PCS GIFT SET MEN #2 EDT50ML+DEO175ML+ROLLON50ML</t>
  </si>
  <si>
    <t>BHPC 3PCS GIFT SET WOMEN #9 EDP50ML+DEO150ML+ROLLON50ML</t>
  </si>
  <si>
    <t>BHPC 3PCS GIFT SET WOMEN #8 EDP50ML+DEO150ML+ROLLON50ML</t>
  </si>
  <si>
    <t>BHPC 3PCS GIFT SET WOMEN #2 EDP50ML+DEO150ML+ROLLON50ML</t>
  </si>
  <si>
    <t>GSSP4M</t>
  </si>
  <si>
    <t>BHPC GIFT SET SERIES 4 DEO MEN</t>
  </si>
  <si>
    <t>GSSP4W</t>
  </si>
  <si>
    <t>BHPC GIFTSET SERIES 4DEO WOMEN</t>
  </si>
  <si>
    <t>BHPC TWINPACK DEO MEN 1-2</t>
  </si>
  <si>
    <t>BHPC TWINPACK DEO MEN 1-8</t>
  </si>
  <si>
    <t>BHPC TWINPACK DEO MEN 1-9</t>
  </si>
  <si>
    <t>BHPC TWINPACK DEO MEN 2-8</t>
  </si>
  <si>
    <t>BHPC TWINPACK DEO MEN 2-9</t>
  </si>
  <si>
    <t>BHPC TWINPACK DEO MEN 8-9</t>
  </si>
  <si>
    <t>BHPC GIFT SET PRESTIGE TROPHY EDP 100ML + DEO 300ML</t>
  </si>
  <si>
    <t>GSTW12</t>
  </si>
  <si>
    <t>BHPC TWINPACK DEO WOMEN 1-2</t>
  </si>
  <si>
    <t>BHPC TWINPACK DEO WOMEN 1-8</t>
  </si>
  <si>
    <t>BHPC TWINPACK DEO WOMEN 1-9</t>
  </si>
  <si>
    <t>GSTW28</t>
  </si>
  <si>
    <t>BHPC TWINPACK DEO WOMEN 2-8</t>
  </si>
  <si>
    <t>GSTW29</t>
  </si>
  <si>
    <t>BHPC TWINPACK DEO WOMEN 2-9</t>
  </si>
  <si>
    <t>BHPC TWINPACK DEO WOMEN 8-9</t>
  </si>
  <si>
    <t>P00001</t>
  </si>
  <si>
    <t>BHPC T-SHIRTS</t>
  </si>
  <si>
    <t>P00002</t>
  </si>
  <si>
    <t>BHPC POUCHES</t>
  </si>
  <si>
    <t>P07004</t>
  </si>
  <si>
    <t>BHPC WOMEN ROLL-ON 1 50ML</t>
  </si>
  <si>
    <t>P07005</t>
  </si>
  <si>
    <t>BHPC WOMEN ROLL-ON 9 50ML</t>
  </si>
  <si>
    <t>P07006</t>
  </si>
  <si>
    <t>BHPC WOMEN ROLL-ON 8 50ML</t>
  </si>
  <si>
    <t>P07007</t>
  </si>
  <si>
    <t>BHPC WOMEN ROLL-ON 2 50ML</t>
  </si>
  <si>
    <t>X00TPM</t>
  </si>
  <si>
    <t>BHPC BOX TWIN PACK DEO MEN</t>
  </si>
  <si>
    <t>X00TPW</t>
  </si>
  <si>
    <t>BHPC BOX TWIN PACK DEO WOMEN</t>
  </si>
  <si>
    <t>X0SP4M</t>
  </si>
  <si>
    <t>BHPC BOX SERIES 4 DEO MEN</t>
  </si>
  <si>
    <t>X0SP4W</t>
  </si>
  <si>
    <t>BHPC BOX SERIES 4 DEO WOMEN</t>
  </si>
  <si>
    <t>DOCUMENT</t>
  </si>
  <si>
    <t>DATE</t>
  </si>
  <si>
    <t>NUMBER</t>
  </si>
  <si>
    <t>PAYMENT</t>
  </si>
  <si>
    <t>CURRENCY</t>
  </si>
  <si>
    <t>PROFORMA INVOICE</t>
  </si>
  <si>
    <t>BANK DETAILS</t>
  </si>
  <si>
    <t>SKU CODE</t>
  </si>
  <si>
    <t>PRODUCT DESCRIPTION</t>
  </si>
  <si>
    <t>UM</t>
  </si>
  <si>
    <t>QUANTITY</t>
  </si>
  <si>
    <t>UNIT PRICE</t>
  </si>
  <si>
    <t>CARTONS</t>
  </si>
  <si>
    <t>AMOUNT</t>
  </si>
  <si>
    <t>VAT
CODE</t>
  </si>
  <si>
    <t>BEVERLY HILLS POLO CLUB EDP / EDT / DEO / GIFT SETS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</si>
  <si>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</si>
  <si>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</si>
  <si>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</si>
  <si>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</si>
  <si>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</si>
  <si>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</si>
  <si>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</si>
  <si>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</si>
  <si>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</si>
  <si>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</si>
  <si>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</si>
  <si>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</si>
  <si>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</si>
  <si>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</si>
  <si>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</si>
  <si>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SUBTOTAL PAG. 1</t>
  </si>
  <si>
    <t>FREE OF CHARGE / F.O.C</t>
  </si>
  <si>
    <t>SUBTOTAL PAG. 2</t>
  </si>
  <si>
    <t>COUNTRY OF DESTINATION</t>
  </si>
  <si>
    <t>PACKING LIST</t>
  </si>
  <si>
    <t>NET WEIGHT</t>
  </si>
  <si>
    <t>GROSS WEIGHT</t>
  </si>
  <si>
    <t>MADE IN</t>
  </si>
  <si>
    <t>VESSEL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</si>
  <si>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</si>
  <si>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</si>
  <si>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</si>
  <si>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</si>
  <si>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</si>
  <si>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</si>
  <si>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</si>
  <si>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</si>
  <si>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TOTAL GROSS WEIGHT + PALLETS</t>
  </si>
  <si>
    <t>SIGNATURE</t>
  </si>
  <si>
    <t>OTHER PACKING INFORMATION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</si>
  <si>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</si>
  <si>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</si>
  <si>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</si>
  <si>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</si>
  <si>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</si>
  <si>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</si>
  <si>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VIA GALLARDI, 204</t>
  </si>
  <si>
    <t>3.</t>
  </si>
  <si>
    <t>4. Shipper's reference</t>
  </si>
  <si>
    <t>18039 VENTIMIGLIA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</si>
  <si>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</si>
  <si>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</si>
  <si>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</si>
  <si>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</si>
  <si>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</si>
  <si>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</si>
  <si>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</si>
  <si>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</si>
  <si>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</si>
  <si>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</si>
  <si>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</si>
  <si>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</si>
  <si>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</si>
  <si>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</si>
  <si>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</si>
  <si>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</si>
  <si>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VENTIMIGLIA - ITALY</t>
  </si>
  <si>
    <t>Carriage in accordance with 1.1.4.2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</si>
  <si>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</si>
  <si>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</si>
  <si>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</si>
  <si>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</si>
  <si>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</si>
  <si>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</si>
  <si>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</si>
  <si>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</si>
  <si>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</si>
  <si>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</si>
  <si>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</si>
  <si>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</si>
  <si>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 xml:space="preserve">UN 1266 PERFUMERY PRODUCTS, CLASS 3, III, (23°C) </t>
  </si>
  <si>
    <t>LIMITED QUANTITY, EMS: F- E, S-D</t>
  </si>
  <si>
    <t>LIMITED QUANTITY</t>
  </si>
  <si>
    <t>UN 1950 AEROSOLS, CLASS 2.1, II</t>
  </si>
  <si>
    <t>OVERPACK USED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</si>
  <si>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</si>
  <si>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</si>
  <si>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</si>
  <si>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</si>
  <si>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</si>
  <si>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</si>
  <si>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</si>
  <si>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</si>
  <si>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</si>
  <si>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</si>
  <si>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</si>
  <si>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</si>
  <si>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</si>
  <si>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</si>
  <si>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</si>
  <si>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</si>
  <si>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</si>
  <si>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</si>
  <si>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</si>
  <si>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</si>
  <si>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</si>
  <si>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</si>
  <si>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</si>
  <si>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</si>
  <si>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</si>
  <si>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Selected Row</t>
  </si>
  <si>
    <t>Scroll Bar Client Value</t>
  </si>
  <si>
    <t>SelectedOrder</t>
  </si>
  <si>
    <t>Client Row</t>
  </si>
  <si>
    <t>Client Id</t>
  </si>
  <si>
    <t>Scroll Bar Order</t>
  </si>
  <si>
    <t>Filter By Client</t>
  </si>
  <si>
    <t>Selected Client</t>
  </si>
  <si>
    <t>General Details</t>
  </si>
  <si>
    <t>Cost On Behalf of BHPC</t>
  </si>
  <si>
    <t>Products Details</t>
  </si>
  <si>
    <t>Order Sum Up</t>
  </si>
  <si>
    <t>Proforma / Invoice</t>
  </si>
  <si>
    <t>Name:</t>
  </si>
  <si>
    <t>cts</t>
  </si>
  <si>
    <t>cts_foc</t>
  </si>
  <si>
    <t>warehouse</t>
  </si>
  <si>
    <t>Filter By Status</t>
  </si>
  <si>
    <t>Selected Order</t>
  </si>
  <si>
    <t>No:</t>
  </si>
  <si>
    <t>Invoice No:</t>
  </si>
  <si>
    <t>Pallets Costs:</t>
  </si>
  <si>
    <t>Cost/Pallet</t>
  </si>
  <si>
    <t># of references</t>
  </si>
  <si>
    <t>Country:</t>
  </si>
  <si>
    <t>Invoice Date:</t>
  </si>
  <si>
    <t>total cost</t>
  </si>
  <si>
    <t>Invoice No.</t>
  </si>
  <si>
    <t>Pallets Movimentation:</t>
  </si>
  <si>
    <t>Link to archived file:</t>
  </si>
  <si>
    <t>Payment 
Account:</t>
  </si>
  <si>
    <t>Currency:</t>
  </si>
  <si>
    <t>tot units</t>
  </si>
  <si>
    <t>Exchange Rate:</t>
  </si>
  <si>
    <t>Transport Costs:</t>
  </si>
  <si>
    <t>tot disc units</t>
  </si>
  <si>
    <t>exp profit</t>
  </si>
  <si>
    <t>tot FOC</t>
  </si>
  <si>
    <t>Invoice</t>
  </si>
  <si>
    <t>Financial Details</t>
  </si>
  <si>
    <t>FOC Value:</t>
  </si>
  <si>
    <t>FOC No.</t>
  </si>
  <si>
    <t>FOC ratio</t>
  </si>
  <si>
    <t>Payment Type:</t>
  </si>
  <si>
    <t>tot FOC cost</t>
  </si>
  <si>
    <t>FOC/TOT COST ratio</t>
  </si>
  <si>
    <t>Labour Costs Total:</t>
  </si>
  <si>
    <t>Hours</t>
  </si>
  <si>
    <t>Cost/hour</t>
  </si>
  <si>
    <t>Description</t>
  </si>
  <si>
    <t>VAT No:</t>
  </si>
  <si>
    <t>Total Cost of Goods:</t>
  </si>
  <si>
    <t>Logistic Sum Up</t>
  </si>
  <si>
    <t>Profit:</t>
  </si>
  <si>
    <t>Legal HQ:</t>
  </si>
  <si>
    <t>Expected Profit:</t>
  </si>
  <si>
    <t>Total Other Costs</t>
  </si>
  <si>
    <t>tot cartons</t>
  </si>
  <si>
    <t>Packing List</t>
  </si>
  <si>
    <t>Logistic Details</t>
  </si>
  <si>
    <t>net weight</t>
  </si>
  <si>
    <t>gross weight</t>
  </si>
  <si>
    <t>Logistic HQ:</t>
  </si>
  <si>
    <t>Incoterms:</t>
  </si>
  <si>
    <t>Status</t>
  </si>
  <si>
    <t>Cartons No:</t>
  </si>
  <si>
    <t>Pallet Type:</t>
  </si>
  <si>
    <t>Shipping Method</t>
  </si>
  <si>
    <t>To-Do List</t>
  </si>
  <si>
    <t>Notes</t>
  </si>
  <si>
    <t>Pallet No:</t>
  </si>
  <si>
    <t>Dangerous Goods Note</t>
  </si>
  <si>
    <t>Net Weight:</t>
  </si>
  <si>
    <t>Gross Weight:</t>
  </si>
  <si>
    <t>Payed</t>
  </si>
  <si>
    <t>Gross Weight + Pallets:</t>
  </si>
  <si>
    <t>Transport Details</t>
  </si>
  <si>
    <t>Dangerous Goods Note Flight</t>
  </si>
  <si>
    <t>Carrier Name:</t>
  </si>
  <si>
    <t>Carrier Cost:</t>
  </si>
  <si>
    <t>Exp. Profit:</t>
  </si>
  <si>
    <t>SUBSTATUS</t>
  </si>
  <si>
    <t>Availability Check</t>
  </si>
  <si>
    <t>Transport Organized</t>
  </si>
  <si>
    <t>Ready To Ship</t>
  </si>
  <si>
    <t>Shipped</t>
  </si>
  <si>
    <t>Delivered</t>
  </si>
  <si>
    <t>Valori</t>
  </si>
  <si>
    <t>Etichette di riga</t>
  </si>
  <si>
    <t>Totale complessivo</t>
  </si>
  <si>
    <t>sales_lastLocaleChange</t>
  </si>
  <si>
    <t>orders_lastLocaleChange</t>
  </si>
  <si>
    <t>client_lastLocaleChange</t>
  </si>
  <si>
    <t>bhpcData_lastLocaleChange</t>
  </si>
  <si>
    <t>URUGUAY</t>
  </si>
  <si>
    <t>GILMUR COMPANY S.A.</t>
  </si>
  <si>
    <t>ITUZAINGO AL SUR S/N</t>
  </si>
  <si>
    <t>ZONA FRANCA FLORID, FLORIDA</t>
  </si>
  <si>
    <t>Destination Folder</t>
  </si>
  <si>
    <t>Customer Details</t>
  </si>
  <si>
    <t>Data folder location</t>
  </si>
  <si>
    <t>80x120</t>
  </si>
  <si>
    <t>Order Count</t>
  </si>
  <si>
    <t>-</t>
  </si>
  <si>
    <t>AL UTHAMAA STREET BLDG NO 40</t>
  </si>
  <si>
    <t>VAKE DISTRICT,1</t>
  </si>
  <si>
    <t>CHAVCHAVADZE AVE N 78</t>
  </si>
  <si>
    <t>PO. BOX 261873,</t>
  </si>
  <si>
    <t>STATO ESPÍRITO SANTO, 29157-275, BRAZIL</t>
  </si>
  <si>
    <t>C/O LOGIP</t>
  </si>
  <si>
    <t>C/O HERFURTH LOGISTICS NV</t>
  </si>
  <si>
    <t>C/O FOJCIK TRANSPORT SP. Z O.O.</t>
  </si>
  <si>
    <t>CASSIERSSTRAAT, 19</t>
  </si>
  <si>
    <t>FISCAL REPRESENTATIVE BE 0746419651</t>
  </si>
  <si>
    <t>TEL: 04 5468454</t>
  </si>
  <si>
    <t>LIGHT INDUSTRIAL UNIT, PHASE - 4 UNIT - A07</t>
  </si>
  <si>
    <t>MAHMUTBEY MAH DILMENLER CAD. NO 19-/31</t>
  </si>
  <si>
    <t>BAĞCILAR/İSTANBUL</t>
  </si>
  <si>
    <t>BLUE OCEAN STRATEGIES, LLC</t>
  </si>
  <si>
    <t>3RD FLOOR WEST, LANCHESTER</t>
  </si>
  <si>
    <t>TRAFALGAR PLACE, BRIGHTON,</t>
  </si>
  <si>
    <t>EAST SUSSEX, BN1 4FU, UK</t>
  </si>
  <si>
    <t>GB303097824</t>
  </si>
  <si>
    <t>AGAINST PROFORMA INVOICE</t>
  </si>
  <si>
    <t>GBP</t>
  </si>
  <si>
    <t>BRASMARK CORPORATION, S.A.</t>
  </si>
  <si>
    <t xml:space="preserve">EDIF. SAN FRANCISO PARK PISO 9, </t>
  </si>
  <si>
    <t>COCO DEL MAR</t>
  </si>
  <si>
    <t>PANAMA - PANAMA</t>
  </si>
  <si>
    <t>R.U.C. 182503-1-392516 DV 90</t>
  </si>
  <si>
    <t>DE LANGE BEEMDEN 27</t>
  </si>
  <si>
    <t>3550 HEUSDEN ZOLDER</t>
  </si>
  <si>
    <t>60DD - DELIVERY DATE</t>
  </si>
  <si>
    <t>CIP CARRETERA CRUZ NEGRA, 15, 46240 CARLET, VALENCIA SPAIN</t>
  </si>
  <si>
    <t>VOLDBJERGVEJ 16A</t>
  </si>
  <si>
    <t>8240 RISSKOV, DENMARK</t>
  </si>
  <si>
    <t>CPT ODENSE SØ - DENMARK</t>
  </si>
  <si>
    <t>GILMUR COMPANY</t>
  </si>
  <si>
    <t>H. COS Global Beauty</t>
  </si>
  <si>
    <t>IMMEUBLE ENAKHILL</t>
  </si>
  <si>
    <t>17 RUE DU LAC BIWA</t>
  </si>
  <si>
    <t>1053 LES BERGES DU LAC</t>
  </si>
  <si>
    <t>TUNIS - TUNISIE</t>
  </si>
  <si>
    <t>INVERSIONES LA MUNDIAL LIMITADA</t>
  </si>
  <si>
    <t>LIBERTAD NO 790, LOCAL 1,</t>
  </si>
  <si>
    <t>R.U.T. : 78.146.900-9</t>
  </si>
  <si>
    <t>LINDO CHAIN LTD</t>
  </si>
  <si>
    <t xml:space="preserve">IMBER ST 5 </t>
  </si>
  <si>
    <t>PETAH TIKVA, ISRAEL</t>
  </si>
  <si>
    <t>LUXUM BEAUTY GMBH</t>
  </si>
  <si>
    <t>LANDHAUSSTRAßE 97</t>
  </si>
  <si>
    <t>70190 STUTTGART, GERMANY</t>
  </si>
  <si>
    <t>MÖRTH &amp; MÖRTH GmbH</t>
  </si>
  <si>
    <t>LILIENPARK 2</t>
  </si>
  <si>
    <t>8072 FERNITZ-MELLACH / AUSTRIA</t>
  </si>
  <si>
    <t>ATU47838808</t>
  </si>
  <si>
    <t>DAP FERNITZ-MELLACH / AUSTRIA</t>
  </si>
  <si>
    <t>PARFUMOOV, SARL</t>
  </si>
  <si>
    <t>N° 8 ZONE ACTIVITÉ ROQUE FORCADE</t>
  </si>
  <si>
    <t>13720 BELCODENE, FRANCE</t>
  </si>
  <si>
    <t>FR00499847010</t>
  </si>
  <si>
    <t>PER-SCENT LTD</t>
  </si>
  <si>
    <t>GB844298889</t>
  </si>
  <si>
    <t>30 DD INVOICE DATE</t>
  </si>
  <si>
    <t>PRESTIGE BRANDS S.A.</t>
  </si>
  <si>
    <t>305, VOULIAGMENIS AVE.17236</t>
  </si>
  <si>
    <t>AGIOS DIMITRIOS, ATHENS - GREECE</t>
  </si>
  <si>
    <t>RENALKO KAUBANDUS OÜ</t>
  </si>
  <si>
    <t>MÕISA 4</t>
  </si>
  <si>
    <t>13522 TALLINN</t>
  </si>
  <si>
    <t>EESTI - ESTONIA</t>
  </si>
  <si>
    <t>EE100481312</t>
  </si>
  <si>
    <t>SIGMA S.R.L.</t>
  </si>
  <si>
    <t>HUMAITÁ Y DR GASPAR R. DE FRANCIA</t>
  </si>
  <si>
    <t>BARRIO SAN MIGUEL</t>
  </si>
  <si>
    <t>7000- CIUDAD DEL ESTE - PARAGUAY</t>
  </si>
  <si>
    <t>80005486-5</t>
  </si>
  <si>
    <t xml:space="preserve">      50% AGAINST PROFORMA - 50% BEFORE COLLECTION</t>
  </si>
  <si>
    <t>SOLVENT ČR s.r.o.</t>
  </si>
  <si>
    <t>PODĚBRADSKÁ 1162</t>
  </si>
  <si>
    <t>250 92 ŠESTAJOVICE</t>
  </si>
  <si>
    <t>CZECH REPUBLIC</t>
  </si>
  <si>
    <t>CZ25069497</t>
  </si>
  <si>
    <t>CIP ŠESTAJOVICE - CZECH REPUBLIC</t>
  </si>
  <si>
    <t>BHPC TESTERS TOUR INTENSE 100ML EDP MEN</t>
  </si>
  <si>
    <t>BHPC PRESTIGE TOUR INTENSE 100ML EDP MEN</t>
  </si>
  <si>
    <t>PANABEL PNM</t>
  </si>
  <si>
    <t>PANAMA</t>
  </si>
  <si>
    <t>PANABEL CO</t>
  </si>
  <si>
    <t>COLOMBIA</t>
  </si>
  <si>
    <t>PANABEL CR</t>
  </si>
  <si>
    <t>COSTA RICA</t>
  </si>
  <si>
    <t>PANABEL DISTRIBUTION S.A.</t>
  </si>
  <si>
    <t>RUC 1835435-1-711027 DV. 80</t>
  </si>
  <si>
    <t>CI. 15 1/2 Y 16 AVE. STA.ISABEL</t>
  </si>
  <si>
    <t>COLINDANTE CON LA MANZANA 6-B-1</t>
  </si>
  <si>
    <t>AREA COMERCIAL, ZONA LIBRE</t>
  </si>
  <si>
    <t>NOOS</t>
  </si>
  <si>
    <t>Order Type:</t>
  </si>
  <si>
    <t>SALE</t>
  </si>
  <si>
    <t>BY SEA</t>
  </si>
  <si>
    <t>To Account:</t>
  </si>
  <si>
    <t>On BHPC behalf:</t>
  </si>
  <si>
    <t>ORDERED SKU</t>
  </si>
  <si>
    <t>MODE OF SHIPMENT</t>
  </si>
  <si>
    <t>New Invoice</t>
  </si>
  <si>
    <t>Extra Requests</t>
  </si>
  <si>
    <t>C:\Users\steph\OneDrive\Coppo1896\applicazioni\CRM BHPC\docs\</t>
  </si>
  <si>
    <t>CBM:</t>
  </si>
  <si>
    <t>UN 1266 PERFUMERY PRODUCTS, CLASS 3, II, (12°C)</t>
  </si>
  <si>
    <t>group1</t>
  </si>
  <si>
    <t>group2</t>
  </si>
  <si>
    <t>group3</t>
  </si>
  <si>
    <t>sum_of_values</t>
  </si>
  <si>
    <t>sum_of_size1</t>
  </si>
  <si>
    <t>sum_of_size2</t>
  </si>
  <si>
    <t>sum_of_size3</t>
  </si>
  <si>
    <t>sum_of_size4</t>
  </si>
  <si>
    <t>TOTAL NUMBER OF UNITS PAG.1</t>
  </si>
  <si>
    <t>TOTAL NUMBER OF CARTONS PAG.1</t>
  </si>
  <si>
    <t>TOTAL NET WEIGHT PAG.1</t>
  </si>
  <si>
    <t>TOTAL GROSS WEIGHT PAG.1</t>
  </si>
  <si>
    <t>VENTIMIGLIA, 02/03/2024</t>
  </si>
  <si>
    <t>status asc. order</t>
  </si>
  <si>
    <t>status desc. order</t>
  </si>
  <si>
    <t>Sort Direction:</t>
  </si>
  <si>
    <t>Sort By:</t>
  </si>
  <si>
    <t>Place of Discharge:</t>
  </si>
  <si>
    <t>place_of_discharge</t>
  </si>
  <si>
    <t>SelectedOrderCreationDate</t>
  </si>
  <si>
    <t>Shipment Details</t>
  </si>
  <si>
    <t>order no</t>
  </si>
  <si>
    <t>order_type</t>
  </si>
  <si>
    <t>SelectedOrderSubStatus</t>
  </si>
  <si>
    <t>ALMACÉN CENTRAL</t>
  </si>
  <si>
    <t>C/ALEMANYA, 15 - CARLET</t>
  </si>
  <si>
    <t>BY ROAD</t>
  </si>
  <si>
    <t>P06008</t>
  </si>
  <si>
    <t>BHPC ELEGANCE HAIR MIST 250ML PRESTIGE HAIR SPRAY</t>
  </si>
  <si>
    <t>P06009</t>
  </si>
  <si>
    <t>BHPC CHALLENGE BODY MIST 250ML PRESTIGE BODY SPRAY</t>
  </si>
  <si>
    <t>P06010</t>
  </si>
  <si>
    <t>BHPC MYSTIQUE BODY MIST 250ML PRESTIGE BODY SPRAY</t>
  </si>
  <si>
    <t>P06011</t>
  </si>
  <si>
    <t>BHPC PASSION BODY MIST 250ML PRESTIGE BODY SPRAY</t>
  </si>
  <si>
    <t>P06012</t>
  </si>
  <si>
    <t>BHPC TROPHY DEO 300ML PRESTIGE BODY SPRAY</t>
  </si>
  <si>
    <t>P06013</t>
  </si>
  <si>
    <t>BHPC HERITAGE OUD 300ML PRESTIGE BODY SPRAY</t>
  </si>
  <si>
    <t>P06014</t>
  </si>
  <si>
    <t>BHPC TOUR DEO 300ML PRESTIGE BODY SPRAY</t>
  </si>
  <si>
    <t>P06015</t>
  </si>
  <si>
    <t>BHPC TITAN DEO 300ML PRESTIGE BODY SPRAY</t>
  </si>
  <si>
    <t>BHPC TESTERS ROYALE 100ML EDP WOMEN</t>
  </si>
  <si>
    <t>BHPC 3PCS GIFT SET WOMEN #1 EDP50ML+DEO150ML+ROLLON50ML</t>
  </si>
  <si>
    <t>exp_profit</t>
  </si>
  <si>
    <t>100x120</t>
  </si>
  <si>
    <t>FGURA - MALTA</t>
  </si>
  <si>
    <t>FLORIDA - URUGUAY</t>
  </si>
  <si>
    <t>LUXUM BEAUTY - ULM</t>
  </si>
  <si>
    <t xml:space="preserve">FRANZENHAUSERWEG 5/1 </t>
  </si>
  <si>
    <t>89081 ULM-JUNGINGEN</t>
  </si>
  <si>
    <t>ULM-JUNGINGEN - GERMANY</t>
  </si>
  <si>
    <t>CIP ULM-JUNGINGEN, GERMANY</t>
  </si>
  <si>
    <t>LUXUM BEAUTY - HAMBURG</t>
  </si>
  <si>
    <t>BRANDSTÜCKEN 16</t>
  </si>
  <si>
    <t>22549 HAMBURG</t>
  </si>
  <si>
    <t>HAMBURG - GERMANY</t>
  </si>
  <si>
    <t>CHURCHILL POINT DISTRIBUTION CENTER</t>
  </si>
  <si>
    <t xml:space="preserve">LAKE EDGE GREEN </t>
  </si>
  <si>
    <t>MANCHESTER, M17 1BL - ENGLAND</t>
  </si>
  <si>
    <t>MANCHESTER - ENGLAND</t>
  </si>
  <si>
    <t>ATHENS - GREECE</t>
  </si>
  <si>
    <t xml:space="preserve">SOFOKLI VENIZELOU </t>
  </si>
  <si>
    <t>101 16343 - ILIOUPOLIS - GREECE</t>
  </si>
  <si>
    <t>Profit 
Difference</t>
  </si>
  <si>
    <t>Fercam</t>
  </si>
  <si>
    <t>Filter By Order Type</t>
  </si>
  <si>
    <t>Document folder location</t>
  </si>
  <si>
    <t>Insert the complete path to the folder containing the data folder (NOT THE DATA FILES)</t>
  </si>
  <si>
    <t>Insert the complete path to the folder containing doc folder (NOT THE DOC FILES!)</t>
  </si>
  <si>
    <t>N/A</t>
  </si>
  <si>
    <t>AURIA</t>
  </si>
  <si>
    <t>ENVASADO XIOMARA SLU</t>
  </si>
  <si>
    <t>Polígono Industrial La Torrecilla Chica, 6</t>
  </si>
  <si>
    <t xml:space="preserve">45220 Yeles, Toledo </t>
  </si>
  <si>
    <t>TOLEDO - SPAIN</t>
  </si>
  <si>
    <t>BLUE OCEAN UK</t>
  </si>
  <si>
    <t>BLUE OCEAN DE</t>
  </si>
  <si>
    <t>MARKLOWICE - POLAND</t>
  </si>
  <si>
    <t>Z:\Stephane\Stephane Personale\Applicazioni Coppo\BHPC\CRM BHPC\</t>
  </si>
  <si>
    <t>MAKEUP</t>
  </si>
  <si>
    <t>JAPAN</t>
  </si>
  <si>
    <t>X05004</t>
  </si>
  <si>
    <t>X05005</t>
  </si>
  <si>
    <t>X05006</t>
  </si>
  <si>
    <t>X05007</t>
  </si>
  <si>
    <t>X05050</t>
  </si>
  <si>
    <t>X05051</t>
  </si>
  <si>
    <t>X05052</t>
  </si>
  <si>
    <t>X05053</t>
  </si>
  <si>
    <t>BHPC GIFT BOX MEN NO.1 100ML</t>
  </si>
  <si>
    <t>BHPC GIFT BOX MEN NO.9 100ML</t>
  </si>
  <si>
    <t>BHPC GIFT BOX MEN NO.8 100ML</t>
  </si>
  <si>
    <t>BHPC GIFT BOX MEN NO.2 100ML</t>
  </si>
  <si>
    <t>X05008</t>
  </si>
  <si>
    <t>BHPC GIFT BOX MEN NO.1 50ML</t>
  </si>
  <si>
    <t>X05009</t>
  </si>
  <si>
    <t>BHPC GIFT BOX MEN NO.9 50ML</t>
  </si>
  <si>
    <t>X05010</t>
  </si>
  <si>
    <t>BHPC GIFT BOX MEN NO.8 50ML</t>
  </si>
  <si>
    <t>X05011</t>
  </si>
  <si>
    <t>BHPC GIFT BOX MEN NO.2 50ML</t>
  </si>
  <si>
    <t>X05028</t>
  </si>
  <si>
    <t>BHPC GIFT BOX WOMEN NO.1 50ML</t>
  </si>
  <si>
    <t>X05029</t>
  </si>
  <si>
    <t>BHPC GIFT BOX WOMEN NO.9 50ML</t>
  </si>
  <si>
    <t>X05030</t>
  </si>
  <si>
    <t>BHPC GIFT BOX WOMEN NO.8 50ML</t>
  </si>
  <si>
    <t>X05031</t>
  </si>
  <si>
    <t>BHPC GIFT BOX WOMEN NO.2 50ML</t>
  </si>
  <si>
    <t>BHPC GIFT BOX WOMEN NO.1 100ML</t>
  </si>
  <si>
    <t>BHPC GIFT BOX WOMEN NO.9 100ML</t>
  </si>
  <si>
    <t>BHPC GIFT BOX WOMEN NO.8 100ML</t>
  </si>
  <si>
    <t>BHPC GIFT BOX WOMEN NO.2 100ML</t>
  </si>
  <si>
    <t>X05068</t>
  </si>
  <si>
    <t>BHPC GS BOX MEN</t>
  </si>
  <si>
    <t>X05072</t>
  </si>
  <si>
    <t>BHPC GS BOX WOMEN</t>
  </si>
  <si>
    <t>X06012</t>
  </si>
  <si>
    <t>BHPC BOX TROPHY+DEO300ML</t>
  </si>
  <si>
    <t>X0TRFM</t>
  </si>
  <si>
    <t>BHPC TRAY GIFT BOX MEN 50ML</t>
  </si>
  <si>
    <t>X0TRFW</t>
  </si>
  <si>
    <t>BHPC TRAY GIFT BOX WOMEN 50ML</t>
  </si>
  <si>
    <t>X1TRFM</t>
  </si>
  <si>
    <t>BHPC TRAY GIFT BOX MEN 100ML</t>
  </si>
  <si>
    <t>X1TRFW</t>
  </si>
  <si>
    <t>BHPC TRAY GIFT BOX WOMEN 100ML</t>
  </si>
  <si>
    <t>Pallet devono essere fumigati</t>
  </si>
  <si>
    <t>vessel_name</t>
  </si>
  <si>
    <t>container_no</t>
  </si>
  <si>
    <t>container_type</t>
  </si>
  <si>
    <t>seal_no</t>
  </si>
  <si>
    <t>SUPPLY</t>
  </si>
  <si>
    <t>Peso Netto</t>
  </si>
  <si>
    <t>Bodymist</t>
  </si>
  <si>
    <t>Profumi</t>
  </si>
  <si>
    <t>Deodoranti</t>
  </si>
  <si>
    <t>Order Type</t>
  </si>
  <si>
    <t>SAMPLING</t>
  </si>
  <si>
    <t>MBE</t>
  </si>
  <si>
    <t>NO PALLET</t>
  </si>
  <si>
    <t>HS Code</t>
  </si>
  <si>
    <t>Y00001</t>
  </si>
  <si>
    <t>Y00002</t>
  </si>
  <si>
    <t>Y00003</t>
  </si>
  <si>
    <t>Y00004</t>
  </si>
  <si>
    <t>Y00005</t>
  </si>
  <si>
    <t>Y00006</t>
  </si>
  <si>
    <t>Y00007</t>
  </si>
  <si>
    <t>Y00008</t>
  </si>
  <si>
    <t>Y00009</t>
  </si>
  <si>
    <t>Y00010</t>
  </si>
  <si>
    <t>Y00011</t>
  </si>
  <si>
    <t>Y00012</t>
  </si>
  <si>
    <t>Y00013</t>
  </si>
  <si>
    <t>Y00014</t>
  </si>
  <si>
    <t>Y00015</t>
  </si>
  <si>
    <t>Y00016</t>
  </si>
  <si>
    <t>Y00017</t>
  </si>
  <si>
    <t>Y00018</t>
  </si>
  <si>
    <t>Y00019</t>
  </si>
  <si>
    <t>Y00020</t>
  </si>
  <si>
    <t>Y00021</t>
  </si>
  <si>
    <t>Y00022</t>
  </si>
  <si>
    <t>Y00023</t>
  </si>
  <si>
    <t>Y00024</t>
  </si>
  <si>
    <t>Y00025</t>
  </si>
  <si>
    <t>Y00026</t>
  </si>
  <si>
    <t>Y00027</t>
  </si>
  <si>
    <t>Y00028</t>
  </si>
  <si>
    <t>Y00029</t>
  </si>
  <si>
    <t>Y00030</t>
  </si>
  <si>
    <t>Y00031</t>
  </si>
  <si>
    <t>Y00032</t>
  </si>
  <si>
    <t>Y00033</t>
  </si>
  <si>
    <t>Y00034</t>
  </si>
  <si>
    <t>Y00035</t>
  </si>
  <si>
    <t>Y00036</t>
  </si>
  <si>
    <t>Y00037</t>
  </si>
  <si>
    <t>Y00038</t>
  </si>
  <si>
    <t>YA2302A BHPC SUNGLASSES RUBB. BLACK / SOLID GREY</t>
  </si>
  <si>
    <t>YA2302B BHPC SUNGLASSES RUBB. BLUE/ SOLID SMOKE</t>
  </si>
  <si>
    <t>YA2302C BHPC SUNGLASSES RUBB. BLACK / MIRROR ICY</t>
  </si>
  <si>
    <t>YB2310A BHPC SUNGLASSES MATT BLACK/SILVER /SOLID GREE</t>
  </si>
  <si>
    <t>YB2310B BHPC SUNGLASSES MATT NAVY/SILVER/ SOLID SMOKE</t>
  </si>
  <si>
    <t>YB2310C BHPC SUNGLASSES MATT SMOKE/SILVER / SOLID GREY</t>
  </si>
  <si>
    <t>YB2313A BHPC SUNGLASSES SATIN NAVY / SOLID SMOKE</t>
  </si>
  <si>
    <t>YB2313B BHPC SUNGLASSES MATT BLACK / SOLID GREY</t>
  </si>
  <si>
    <t>YB2313C BHPC SUNGLASSES BLACK/GUN / SOLID GREEN</t>
  </si>
  <si>
    <t>YB2314A BHPC SUNGLASSES MATT BLACK / SOLID GREEN</t>
  </si>
  <si>
    <t>YB2314B BHPC SUNGLASSES MATT BLACK / SOLID GREY</t>
  </si>
  <si>
    <t>YB2314C BHPC SUNGLASSES BLACK / HIGH TRANSMIT YELLOW</t>
  </si>
  <si>
    <t>YB1304A BHPC SUNGLASSES GUN/TRANSP.GREY/GRADIENT GREY</t>
  </si>
  <si>
    <t>YB1304B BHPC SUNGLASSES GOLD/TRANSP.OLIVEGRADIENT CLAY</t>
  </si>
  <si>
    <t>YB1304C BHPC SUNGLASSES GUN/TRANSP. BLUE/GRADIENT BLU</t>
  </si>
  <si>
    <t>YB1308A BHPC SUNGLASSES SATIN GUN/SOLID SMOKE</t>
  </si>
  <si>
    <t>YB1308B BHPC SUNGLASSES GUN/SOLID BROWN</t>
  </si>
  <si>
    <t>YB1308C BHPC SUNGLASSES SATIN GOLD/SOLID GREEN</t>
  </si>
  <si>
    <t>YB1305A BHPC SUNGLASSES GOLD / SOLID GREEN</t>
  </si>
  <si>
    <t>YB1305B BHPC SUNGLASSES GUN/SOLID SMOKE</t>
  </si>
  <si>
    <t>YB1305C BHPC SUNGLASSES MATT BLACK / SOLID GREY</t>
  </si>
  <si>
    <t>YB1307A BHPC SUNGLASSES GOLD / GRADIENT GREY</t>
  </si>
  <si>
    <t>YB1307B BHPC SUNGLASSES BROWN / GRADIENT CLAY</t>
  </si>
  <si>
    <t>YB1307C BHPC SUNGLASSES ROSE GOLD/DOUBLE GRAD. GREYRED</t>
  </si>
  <si>
    <t>YB1306A BHPC SUNGLASSES GOLD/BLACK GRADIENT GREY</t>
  </si>
  <si>
    <t>YB1306B BHPC SUNGLASSES GOLD/BEIGE / GRADIENT CLAY</t>
  </si>
  <si>
    <t>YB1306C BHPC SUNGLASSES BRONZE GOLD / GRADIENT COFFEE</t>
  </si>
  <si>
    <t>YB2311A BHPC SUNGLASSES DEMI / GRADIENT MOCCA</t>
  </si>
  <si>
    <t>YB2311B BHPC SUNGLASSES BLACK / GRADIENT GREY</t>
  </si>
  <si>
    <t>YB2311C BHPC SUNGLASSES TRANSP. OLIVE / GRADIENT CLAY</t>
  </si>
  <si>
    <t>YB2315A BHPC SUNGLASSES BLACK CRYSTAL GRADIENT GREEN</t>
  </si>
  <si>
    <t>YB2315B BHPC SUNGLASSES TRANSP. GREEN / GRADIENT GREY</t>
  </si>
  <si>
    <t>YB2315C BHPC SUNGLASSES TRANSP. VIOLET /GRADIENT SMOKE</t>
  </si>
  <si>
    <t>YB2312A BHPC SUNGLASSES BLACK / SOLID GREY</t>
  </si>
  <si>
    <t>YB2312B BHPC SUNGLASSES RED / SOLID SMOKE</t>
  </si>
  <si>
    <t>YB2312C BHPC SUNGLASSES WHITE / GRADIENT GREY</t>
  </si>
  <si>
    <t>BHPC SUNGLASSES CASE AO49L BROWN FOR MEN</t>
  </si>
  <si>
    <t>BHPC SUNGLASSES CASE AO49L WHITE FOR WOMEN</t>
  </si>
  <si>
    <t>12 cappellini bianchi, 12 cappellini rossi, 12 cappellini blu, 14 cappellini blu scuro, 50 sacchetti BHPC.</t>
  </si>
  <si>
    <t>Customer's Notes</t>
  </si>
  <si>
    <t>Order's Notes:</t>
  </si>
  <si>
    <t>74Kg peso lordo. Da aggiungere il peso del pallet.</t>
  </si>
  <si>
    <t>Non segno costi di manodopera in questo ordine perché li ho addebitati tutti alla fattura #41. In realtà parte dei testers preparati durante la preparazione della fattura 41 sono stati utilizzati per questa fattura.</t>
  </si>
  <si>
    <t>https://www.mbe.it/it/tracking?c=641176034</t>
  </si>
  <si>
    <t>(Tutto)</t>
  </si>
  <si>
    <t>FATTURATO</t>
  </si>
  <si>
    <t>REVENUE</t>
  </si>
  <si>
    <t>EXP. PROFIT</t>
  </si>
  <si>
    <t>PROFIT DEV. 
FROM EXP.</t>
  </si>
  <si>
    <t xml:space="preserve">COST OF GOODS </t>
  </si>
  <si>
    <t xml:space="preserve">COST OF TRANSPORT </t>
  </si>
  <si>
    <t>LABOR HOURS</t>
  </si>
  <si>
    <t>COST / HOUR</t>
  </si>
  <si>
    <t>LABOR COST TOTAL</t>
  </si>
  <si>
    <t>EURO PALLET NO.</t>
  </si>
  <si>
    <t>PALLET 
MOVIMENTATION
 COST</t>
  </si>
  <si>
    <t>(elementi multipli)</t>
  </si>
  <si>
    <t xml:space="preserve">PALLET
 COST </t>
  </si>
  <si>
    <t>MERCE IN USCITA</t>
  </si>
  <si>
    <t xml:space="preserve">CUSTOMER </t>
  </si>
  <si>
    <t>INVOICE_NO.</t>
  </si>
  <si>
    <t>PALLET NO.</t>
  </si>
  <si>
    <t>SUPPLIER</t>
  </si>
  <si>
    <t>MERCE IN ENTRATA</t>
  </si>
  <si>
    <t>SAMPLES</t>
  </si>
  <si>
    <t>SALES</t>
  </si>
  <si>
    <t>PURCHASES</t>
  </si>
  <si>
    <t>CARLET - SPAIN</t>
  </si>
  <si>
    <t>Ordine partito direttamente dai depositi di Auria.</t>
  </si>
  <si>
    <t>Filter by Category</t>
  </si>
  <si>
    <t>Filter By Sex</t>
  </si>
  <si>
    <t>Flter By Size</t>
  </si>
  <si>
    <t>Warehouse Stock</t>
  </si>
  <si>
    <t>SKU</t>
  </si>
  <si>
    <t>T-1</t>
  </si>
  <si>
    <t>Date</t>
  </si>
  <si>
    <t>STOCK TO DATE</t>
  </si>
  <si>
    <t>BHPC TROPHY DEO 300ML</t>
  </si>
  <si>
    <t>Trophy Deos + Packaging Material per i Giftset Prestige da inviare a Luxum.</t>
  </si>
  <si>
    <t>BHPC HERITAGE OUD DEO 300ML</t>
  </si>
  <si>
    <t>BHPC TITAN DEO 300ML</t>
  </si>
  <si>
    <t>BHPC TOUR DEO 300ML</t>
  </si>
  <si>
    <t>BHPC ELEGANCE HAIR MIST 250ML</t>
  </si>
  <si>
    <t>BHPC CHALLENGE BODY MIST 250ML</t>
  </si>
  <si>
    <t>BHPC MYSTIQUE BODY MIST 250ML</t>
  </si>
  <si>
    <t>BHPC PASSION BODY MIST 250ML</t>
  </si>
  <si>
    <t>BRANDSHAPERS</t>
  </si>
  <si>
    <t>IRELAND</t>
  </si>
  <si>
    <t>BALLYTRAMON BUSINESS PARK</t>
  </si>
  <si>
    <t>ARDCAVAN, CO. WEXFORD</t>
  </si>
  <si>
    <t>"BANCO DESIO" - IBAN NO.   : IT 59 M 03440 49110 000047251833 - SWIFT CODE   : BDBDIT22</t>
  </si>
  <si>
    <t>MR. BENOIT PFISTER</t>
  </si>
  <si>
    <t/>
  </si>
  <si>
    <t>145 AVENUE DE SUFFREN</t>
  </si>
  <si>
    <t>75015 PARIS </t>
  </si>
  <si>
    <t>MOBILE 06 14 88 9 42</t>
  </si>
  <si>
    <t>95cm altezza del pallet.</t>
  </si>
  <si>
    <t>SANTIAGO - CHILE</t>
  </si>
  <si>
    <t>60 DAYS DATE OF INVOICE</t>
  </si>
  <si>
    <t>AMOUNT SOLD</t>
  </si>
  <si>
    <t>TRANSPORT COST</t>
  </si>
  <si>
    <t>Somma di qty</t>
  </si>
  <si>
    <t>Etichette di colonna</t>
  </si>
  <si>
    <t>TOTALE USCITO</t>
  </si>
  <si>
    <t>SALE + SAMPLING</t>
  </si>
  <si>
    <t>92Kg lordi + 20 Kg peso pallet. 8ct porta occhiali, 6ct occhiali</t>
  </si>
  <si>
    <t>BRIGHTON - UK</t>
  </si>
  <si>
    <t>UNITED KINGDOM</t>
  </si>
  <si>
    <t>cts_disc</t>
  </si>
  <si>
    <t>SUNGLASSES</t>
  </si>
  <si>
    <t>PC</t>
  </si>
  <si>
    <t>TUNISIA</t>
  </si>
  <si>
    <t>Churchill Point, Lake Edge Green</t>
  </si>
  <si>
    <t>Trafford Park Road, Trafford Park</t>
  </si>
  <si>
    <t>Lancashire m17 1bl, Manchester, ENGLAND</t>
  </si>
  <si>
    <t>175cm height</t>
  </si>
  <si>
    <t>pallet_euro</t>
  </si>
  <si>
    <t>pallet</t>
  </si>
  <si>
    <t>box_per_europallet</t>
  </si>
  <si>
    <t>Pallettizing</t>
  </si>
  <si>
    <t>Pallet Type</t>
  </si>
  <si>
    <t>Pallet Number</t>
  </si>
  <si>
    <t>pallet_euro_rounded</t>
  </si>
  <si>
    <t>pallet_rounded</t>
  </si>
  <si>
    <t>SKU EURO</t>
  </si>
  <si>
    <t>SKU NO EURO</t>
  </si>
  <si>
    <t>8320000 SANTIAGO, CHILE</t>
  </si>
  <si>
    <t>80*120</t>
  </si>
  <si>
    <t>100*120</t>
  </si>
  <si>
    <t>MAN EURO</t>
  </si>
  <si>
    <t>WOMAN EURO</t>
  </si>
  <si>
    <t># Pallets</t>
  </si>
  <si>
    <t># Cartons</t>
  </si>
  <si>
    <t>Carrier</t>
  </si>
  <si>
    <t>Transport Cost</t>
  </si>
  <si>
    <t>inv_amount</t>
  </si>
  <si>
    <t>price</t>
  </si>
  <si>
    <t>cost</t>
  </si>
  <si>
    <t>tot_invoice</t>
  </si>
  <si>
    <t>total invoice</t>
  </si>
  <si>
    <t># of full price ref</t>
  </si>
  <si>
    <t># of disc price ref</t>
  </si>
  <si>
    <t># of foc ref</t>
  </si>
  <si>
    <t>Invoice Amount:</t>
  </si>
  <si>
    <t>523102/04</t>
  </si>
  <si>
    <t>823168/05</t>
  </si>
  <si>
    <t>12408/06</t>
  </si>
  <si>
    <t>0823169/08</t>
  </si>
  <si>
    <t>12406/06</t>
  </si>
  <si>
    <t>1223251/14</t>
  </si>
  <si>
    <t>0823170/11</t>
  </si>
  <si>
    <t>0823169/10</t>
  </si>
  <si>
    <t>012409/09</t>
  </si>
  <si>
    <t>Merce venduta EXW Spagna e ritirata dal cliente polacco per trasporto fino in Polonia</t>
  </si>
  <si>
    <t>012409/07</t>
  </si>
  <si>
    <t>Merce venduta EXW Spagna e ritirata dal cliente Polacco x trasporto in Polonia</t>
  </si>
  <si>
    <t>Descending</t>
  </si>
  <si>
    <t>PREPARING</t>
  </si>
  <si>
    <t>7630775756999</t>
  </si>
  <si>
    <t>7630775757002</t>
  </si>
  <si>
    <t>7630775757019</t>
  </si>
  <si>
    <t>7630775761986</t>
  </si>
  <si>
    <t>7630775761993</t>
  </si>
  <si>
    <t>7630775762006</t>
  </si>
  <si>
    <t>7630775757057</t>
  </si>
  <si>
    <t>7630775757064</t>
  </si>
  <si>
    <t>7630775757071</t>
  </si>
  <si>
    <t>7630775757118</t>
  </si>
  <si>
    <t>7630775757125</t>
  </si>
  <si>
    <t>7630775757132</t>
  </si>
  <si>
    <t>7630775762013</t>
  </si>
  <si>
    <t>7630775762020</t>
  </si>
  <si>
    <t>7630775762037</t>
  </si>
  <si>
    <t>7630775757088</t>
  </si>
  <si>
    <t>7630775757095</t>
  </si>
  <si>
    <t>7630775757101</t>
  </si>
  <si>
    <t>7630775762044</t>
  </si>
  <si>
    <t>7630775762051</t>
  </si>
  <si>
    <t>7630775762068</t>
  </si>
  <si>
    <t>7630775757026</t>
  </si>
  <si>
    <t>7630775757033</t>
  </si>
  <si>
    <t>7630775757040</t>
  </si>
  <si>
    <t>7630775762075</t>
  </si>
  <si>
    <t>7630775762082</t>
  </si>
  <si>
    <t>7630775762099</t>
  </si>
  <si>
    <t>7630775762105</t>
  </si>
  <si>
    <t>7630775762112</t>
  </si>
  <si>
    <t>7630775756982</t>
  </si>
  <si>
    <t>7630775757170</t>
  </si>
  <si>
    <t>7630775757187</t>
  </si>
  <si>
    <t>7630775757194</t>
  </si>
  <si>
    <t>7630775757149</t>
  </si>
  <si>
    <t>7630775757156</t>
  </si>
  <si>
    <t>7630775757163</t>
  </si>
  <si>
    <t>012406/06</t>
  </si>
  <si>
    <t>Intrastat</t>
  </si>
  <si>
    <t>Palletizing</t>
  </si>
  <si>
    <t>CONSOLIDATO</t>
  </si>
  <si>
    <t>30 DAYS DATE OF INVOICE</t>
  </si>
  <si>
    <t>60 DAYS DATE OF DELIVERY</t>
  </si>
  <si>
    <t>Filter By Invoice Year</t>
  </si>
  <si>
    <t>33030010;33072000</t>
  </si>
  <si>
    <t>AGAINST SHIPPING DOCS</t>
  </si>
  <si>
    <t>Max height 120cm</t>
  </si>
  <si>
    <t>Max height 105cm</t>
  </si>
  <si>
    <t>Altezza pallet 115cm (Luxum ha accettato i 10cm extra)</t>
  </si>
  <si>
    <t>Gross Weight</t>
  </si>
  <si>
    <t>120 DAYS DATE OF INVOICE</t>
  </si>
  <si>
    <t>SHIPPED</t>
  </si>
  <si>
    <t>Carton 45x37x24(h)</t>
  </si>
  <si>
    <t>DAT LOGISTICS</t>
  </si>
  <si>
    <t>90 DAYS DATE OF INVOICE</t>
  </si>
  <si>
    <t>Pick-Up Date</t>
  </si>
  <si>
    <t>Pick-Up Agent</t>
  </si>
  <si>
    <t>From</t>
  </si>
  <si>
    <t>To</t>
  </si>
  <si>
    <t>VAT NO</t>
  </si>
  <si>
    <t>ADDRESS LINE 1</t>
  </si>
  <si>
    <t>ADDRESS LINE 2</t>
  </si>
  <si>
    <t>ADDRESS LINE 3</t>
  </si>
  <si>
    <t>ADDRESS LINE 4</t>
  </si>
  <si>
    <t>FERCAM</t>
  </si>
  <si>
    <t>CARRIER_CODE</t>
  </si>
  <si>
    <t>CARRIER_NAME</t>
  </si>
  <si>
    <t>DAT LOGISTICS S.P.ZOO</t>
  </si>
  <si>
    <t>PL 66-530 DREZDENKO</t>
  </si>
  <si>
    <t>PIERWSZEJ BRYGADY 26</t>
  </si>
  <si>
    <t>ITALIANA CARGO</t>
  </si>
  <si>
    <t>EURO LOGISTICA</t>
  </si>
  <si>
    <t>VIA SPATARO 34</t>
  </si>
  <si>
    <t>16136 GENOVA</t>
  </si>
  <si>
    <t>VIA ALDO MORO 54</t>
  </si>
  <si>
    <t>24024 LALLIO (BG)</t>
  </si>
  <si>
    <t>TEL</t>
  </si>
  <si>
    <t>+39035335474</t>
  </si>
  <si>
    <t>EURO LOGISTICA LIGURE S.R.L.</t>
  </si>
  <si>
    <t>+390108352900</t>
  </si>
  <si>
    <t>01964650350</t>
  </si>
  <si>
    <t>01313820993</t>
  </si>
  <si>
    <t>TEL2</t>
  </si>
  <si>
    <t>+3901313820993</t>
  </si>
  <si>
    <t>FERCAM S.P.A</t>
  </si>
  <si>
    <t>00098090210</t>
  </si>
  <si>
    <t>Container No:</t>
  </si>
  <si>
    <t>Seal No:</t>
  </si>
  <si>
    <t>Vessel Name:</t>
  </si>
  <si>
    <t>Container Size:</t>
  </si>
  <si>
    <t>Loading Goods</t>
  </si>
  <si>
    <t>pickup_date</t>
  </si>
  <si>
    <t>Expected</t>
  </si>
  <si>
    <t>Real</t>
  </si>
  <si>
    <t>VENTIMIGLIA, 24/05/2024</t>
  </si>
  <si>
    <t>30 FIBREBOARD BOXES</t>
  </si>
  <si>
    <t>720 GLASS BOTTLES BY 100ML</t>
  </si>
  <si>
    <t>DUBAI - UNITED ARAB EMIRATES</t>
  </si>
  <si>
    <t>BY AIR</t>
  </si>
  <si>
    <t>BARTOLINI</t>
  </si>
  <si>
    <t>DHL</t>
  </si>
  <si>
    <t>VIA FRATELLI CANEPA 8</t>
  </si>
  <si>
    <t>16010 SERRA RICCO' (GE)</t>
  </si>
  <si>
    <t>La parte restante delle merci made in France da spedire a Dubai.</t>
  </si>
  <si>
    <t>Knight &amp; Royale per TKMax fermi per problemi tecnici al loro sistema informatico.</t>
  </si>
  <si>
    <t>50 825168
Knight &amp; Royale per TKMax fermi per problemi tecnici al loro sistema informatico.</t>
  </si>
  <si>
    <t>30 Cartoni di Prestige Titan Mad in France da tornare indietro a Dubai.</t>
  </si>
  <si>
    <t>Si sono dovuti preparare tutti i GS e incartonarli. Le plastiche risultano di una misura troppo grande rispetto le scatole.</t>
  </si>
  <si>
    <t>P1 Height: 144cm ; P2 Height: 151cm
Ordine pronto, in attesa che COFACE ci confermi la copertura assicurativa del cliente.</t>
  </si>
</sst>
</file>

<file path=xl/styles.xml><?xml version="1.0" encoding="utf-8"?>
<styleSheet xmlns="http://schemas.openxmlformats.org/spreadsheetml/2006/main">
  <numFmts count="30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&quot;€&quot;\ * #,##0.00_-;\-&quot;€&quot;\ * #,##0.00_-;_-&quot;€&quot;\ * &quot;-&quot;??_-;_-@_-"/>
    <numFmt numFmtId="165" formatCode="_-* #,##0.00_-;\-* #,##0.00_-;_-* &quot;-&quot;??_-;_-@_-"/>
    <numFmt numFmtId="166" formatCode="_(* #,##0.00_);_(* \(#,##0.00\);_(* &quot;-&quot;??_);_(@_)"/>
    <numFmt numFmtId="167" formatCode="_(* #,##0_);_(* \(#,##0\);_(* &quot;-&quot;_);_(@_)"/>
    <numFmt numFmtId="168" formatCode="_(&quot;$&quot;* #,##0.00_);_(&quot;$&quot;* \(#,##0.00\);_(&quot;$&quot;* &quot;-&quot;??_);_(@_)"/>
    <numFmt numFmtId="169" formatCode="0.00000"/>
    <numFmt numFmtId="170" formatCode="#,##0.00\ &quot;€&quot;"/>
    <numFmt numFmtId="171" formatCode="0.0"/>
    <numFmt numFmtId="172" formatCode="0.000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_(&quot;€&quot;* #,##0.00_);_(&quot;€&quot;* \(#,##0.00\);_(&quot;€&quot;* &quot;-&quot;??_);_(@_)"/>
    <numFmt numFmtId="176" formatCode="_-[$€]\ * #,##0.00_-;_-[$€]\ * #,##0.00\-;_-[$€]\ * &quot;-&quot;??_-;_-@_-"/>
    <numFmt numFmtId="177" formatCode="dd/mm/yy;@"/>
    <numFmt numFmtId="178" formatCode="\€\ #,##0.00_)"/>
    <numFmt numFmtId="179" formatCode="0\ &quot;Kg.&quot;"/>
    <numFmt numFmtId="180" formatCode="&quot;€&quot;#,##0.00"/>
    <numFmt numFmtId="181" formatCode="#,##0\ &quot;Kg.&quot;"/>
    <numFmt numFmtId="182" formatCode="[$$-F0000]\ #,##0.00_)"/>
    <numFmt numFmtId="183" formatCode="[$$-F0000]#,##0.00;[Red]\-[$$-F0000]#,##0.00"/>
    <numFmt numFmtId="184" formatCode="\€#,##0.00;[Red]\-\€#,##0.00"/>
    <numFmt numFmtId="185" formatCode="[$$-F6EFC]#,##0.00;[Red]\-[$$-F6EFC]#,##0.00"/>
    <numFmt numFmtId="186" formatCode="0.00\ &quot;m³&quot;"/>
    <numFmt numFmtId="187" formatCode="0.0000"/>
    <numFmt numFmtId="188" formatCode="_-* #,##0.00\ [$€-410]_-;\-* #,##0.00\ [$€-410]_-;_-* &quot;-&quot;??\ [$€-410]_-;_-@_-"/>
    <numFmt numFmtId="189" formatCode="0;\-0;\-;@"/>
    <numFmt numFmtId="190" formatCode="0.0\ &quot;Kg.&quot;"/>
    <numFmt numFmtId="191" formatCode="dd/mm/yyyy"/>
  </numFmts>
  <fonts count="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EEBF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</borders>
  <cellStyleXfs count="352">
    <xf numFmtId="0" fontId="0" fillId="0" borderId="0"/>
    <xf numFmtId="165" fontId="1" fillId="0" borderId="0" applyFont="0" applyFill="0" applyBorder="0" applyAlignment="0" applyProtection="0"/>
    <xf numFmtId="0" fontId="15" fillId="0" borderId="0"/>
    <xf numFmtId="164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1" fillId="0" borderId="0"/>
    <xf numFmtId="166" fontId="15" fillId="0" borderId="0" applyFont="0" applyFill="0" applyBorder="0" applyAlignment="0" applyProtection="0"/>
    <xf numFmtId="166" fontId="19" fillId="0" borderId="0" applyFont="0" applyFill="0" applyBorder="0" applyAlignment="0" applyProtection="0"/>
    <xf numFmtId="165" fontId="15" fillId="0" borderId="0" applyFont="0" applyFill="0" applyBorder="0" applyAlignment="0" applyProtection="0"/>
    <xf numFmtId="168" fontId="19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6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9" fillId="0" borderId="0"/>
    <xf numFmtId="0" fontId="1" fillId="0" borderId="0"/>
    <xf numFmtId="0" fontId="1" fillId="0" borderId="0"/>
    <xf numFmtId="0" fontId="1" fillId="0" borderId="0"/>
    <xf numFmtId="9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4" fontId="15" fillId="0" borderId="0" applyFont="0" applyFill="0" applyBorder="0" applyAlignment="0" applyProtection="0"/>
    <xf numFmtId="166" fontId="16" fillId="0" borderId="0" applyFont="0" applyFill="0" applyBorder="0" applyAlignment="0" applyProtection="0"/>
    <xf numFmtId="0" fontId="15" fillId="0" borderId="0"/>
    <xf numFmtId="0" fontId="1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49" fontId="26" fillId="20" borderId="28" applyAlignment="0"/>
    <xf numFmtId="49" fontId="26" fillId="21" borderId="29" applyAlignment="0">
      <protection locked="0"/>
    </xf>
    <xf numFmtId="49" fontId="26" fillId="21" borderId="29" applyAlignment="0">
      <protection locked="0"/>
    </xf>
    <xf numFmtId="0" fontId="21" fillId="4" borderId="0" applyNumberFormat="0" applyBorder="0" applyAlignment="0" applyProtection="0"/>
    <xf numFmtId="49" fontId="26" fillId="21" borderId="29" applyAlignment="0">
      <protection locked="0"/>
    </xf>
    <xf numFmtId="49" fontId="26" fillId="21" borderId="29" applyAlignment="0">
      <protection locked="0"/>
    </xf>
    <xf numFmtId="49" fontId="26" fillId="21" borderId="29" applyAlignment="0">
      <protection locked="0"/>
    </xf>
    <xf numFmtId="49" fontId="26" fillId="21" borderId="29" applyAlignment="0">
      <protection locked="0"/>
    </xf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9" fontId="26" fillId="22" borderId="28" applyAlignment="0"/>
    <xf numFmtId="49" fontId="27" fillId="23" borderId="4">
      <alignment horizontal="center" vertical="center"/>
    </xf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5" fontId="1" fillId="0" borderId="0" applyFont="0" applyFill="0" applyBorder="0" applyAlignment="0" applyProtection="0"/>
    <xf numFmtId="176" fontId="15" fillId="0" borderId="0" applyFont="0" applyFill="0" applyBorder="0" applyAlignment="0" applyProtection="0"/>
    <xf numFmtId="176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49" fontId="26" fillId="24" borderId="30" applyAlignment="0"/>
    <xf numFmtId="0" fontId="20" fillId="3" borderId="0" applyNumberFormat="0" applyBorder="0" applyAlignment="0">
      <protection locked="0"/>
    </xf>
    <xf numFmtId="0" fontId="20" fillId="3" borderId="0" applyNumberFormat="0" applyBorder="0" applyAlignment="0" applyProtection="0"/>
    <xf numFmtId="0" fontId="20" fillId="3" borderId="0" applyNumberFormat="0" applyBorder="0" applyAlignment="0">
      <protection locked="0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28" fillId="25" borderId="16">
      <alignment horizontal="left" vertical="top"/>
      <protection locked="0"/>
    </xf>
    <xf numFmtId="0" fontId="22" fillId="5" borderId="0" applyNumberFormat="0" applyBorder="0" applyAlignment="0">
      <protection locked="0"/>
    </xf>
    <xf numFmtId="0" fontId="22" fillId="5" borderId="0" applyNumberFormat="0" applyBorder="0" applyAlignment="0" applyProtection="0"/>
    <xf numFmtId="0" fontId="22" fillId="5" borderId="0" applyNumberFormat="0" applyBorder="0" applyAlignment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0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1" fillId="0" borderId="0"/>
    <xf numFmtId="0" fontId="1" fillId="0" borderId="0"/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" fillId="0" borderId="0"/>
    <xf numFmtId="0" fontId="29" fillId="0" borderId="0">
      <alignment vertical="top"/>
    </xf>
    <xf numFmtId="49" fontId="26" fillId="0" borderId="0">
      <protection locked="0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15" fillId="0" borderId="0"/>
    <xf numFmtId="0" fontId="29" fillId="0" borderId="0">
      <alignment vertical="top"/>
    </xf>
    <xf numFmtId="0" fontId="29" fillId="0" borderId="0">
      <alignment vertical="top"/>
    </xf>
    <xf numFmtId="0" fontId="31" fillId="0" borderId="0"/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0" fontId="29" fillId="0" borderId="0">
      <alignment vertical="top"/>
    </xf>
    <xf numFmtId="49" fontId="26" fillId="0" borderId="0">
      <protection locked="0"/>
    </xf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0" fontId="1" fillId="6" borderId="17" applyNumberFormat="0" applyFont="0" applyAlignment="0" applyProtection="0"/>
    <xf numFmtId="49" fontId="26" fillId="26" borderId="28" applyAlignment="0"/>
    <xf numFmtId="49" fontId="32" fillId="27" borderId="29">
      <alignment horizontal="center" wrapText="1"/>
    </xf>
    <xf numFmtId="49" fontId="32" fillId="27" borderId="29">
      <alignment horizontal="center" wrapText="1"/>
    </xf>
    <xf numFmtId="49" fontId="32" fillId="28" borderId="29">
      <alignment horizontal="center" wrapText="1"/>
    </xf>
    <xf numFmtId="49" fontId="32" fillId="28" borderId="29">
      <alignment horizontal="center" wrapText="1"/>
    </xf>
    <xf numFmtId="49" fontId="32" fillId="29" borderId="16">
      <alignment horizontal="center" wrapText="1"/>
    </xf>
    <xf numFmtId="49" fontId="32" fillId="30" borderId="29">
      <alignment horizontal="center" wrapText="1"/>
    </xf>
    <xf numFmtId="49" fontId="32" fillId="30" borderId="29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2" fillId="31" borderId="16">
      <alignment horizontal="center" wrapText="1"/>
    </xf>
    <xf numFmtId="49" fontId="32" fillId="22" borderId="16">
      <alignment horizontal="center" wrapText="1"/>
    </xf>
    <xf numFmtId="49" fontId="26" fillId="22" borderId="28" applyAlignment="0"/>
    <xf numFmtId="49" fontId="32" fillId="32" borderId="16">
      <alignment horizontal="center" wrapText="1"/>
    </xf>
    <xf numFmtId="0" fontId="15" fillId="0" borderId="0"/>
    <xf numFmtId="0" fontId="15" fillId="0" borderId="0"/>
    <xf numFmtId="49" fontId="26" fillId="0" borderId="0" applyFont="0" applyFill="0" applyBorder="0">
      <alignment wrapText="1"/>
    </xf>
    <xf numFmtId="0" fontId="3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9" fontId="26" fillId="33" borderId="29">
      <protection locked="0"/>
    </xf>
    <xf numFmtId="49" fontId="26" fillId="33" borderId="29">
      <protection locked="0"/>
    </xf>
    <xf numFmtId="0" fontId="34" fillId="0" borderId="0"/>
    <xf numFmtId="0" fontId="39" fillId="0" borderId="0"/>
    <xf numFmtId="9" fontId="1" fillId="0" borderId="0" applyFont="0" applyFill="0" applyBorder="0" applyAlignment="0" applyProtection="0"/>
    <xf numFmtId="165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6" fillId="0" borderId="0"/>
    <xf numFmtId="164" fontId="46" fillId="0" borderId="0" applyFont="0" applyFill="0" applyBorder="0" applyAlignment="0" applyProtection="0"/>
    <xf numFmtId="165" fontId="46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98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0" xfId="0" applyNumberFormat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3" xfId="0" applyBorder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70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 vertical="center"/>
    </xf>
    <xf numFmtId="0" fontId="15" fillId="2" borderId="0" xfId="2" applyFill="1" applyAlignment="1">
      <alignment vertical="center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4" fillId="0" borderId="2" xfId="41" applyFont="1" applyBorder="1" applyAlignment="1" applyProtection="1">
      <alignment horizontal="center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" fontId="8" fillId="0" borderId="6" xfId="41" applyNumberFormat="1" applyFont="1" applyBorder="1" applyAlignment="1" applyProtection="1">
      <alignment vertical="center" shrinkToFit="1"/>
      <protection locked="0"/>
    </xf>
    <xf numFmtId="172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2" fontId="9" fillId="0" borderId="9" xfId="41" applyNumberFormat="1" applyFont="1" applyBorder="1" applyAlignment="1" applyProtection="1">
      <alignment horizontal="center" vertical="center" shrinkToFit="1"/>
      <protection locked="0"/>
    </xf>
    <xf numFmtId="172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2" fontId="9" fillId="0" borderId="11" xfId="41" applyNumberFormat="1" applyFont="1" applyBorder="1" applyAlignment="1" applyProtection="1">
      <alignment horizontal="center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9" xfId="41" applyFont="1" applyBorder="1" applyAlignment="1" applyProtection="1">
      <alignment vertical="center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0" fontId="2" fillId="0" borderId="0" xfId="0" applyFont="1"/>
    <xf numFmtId="170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25" fillId="0" borderId="0" xfId="0" applyFont="1" applyAlignment="1">
      <alignment vertical="center"/>
    </xf>
    <xf numFmtId="49" fontId="0" fillId="0" borderId="0" xfId="0" applyNumberFormat="1" applyAlignment="1">
      <alignment horizontal="center"/>
    </xf>
    <xf numFmtId="0" fontId="15" fillId="0" borderId="0" xfId="2"/>
    <xf numFmtId="0" fontId="15" fillId="0" borderId="0" xfId="2" applyAlignment="1">
      <alignment horizontal="center"/>
    </xf>
    <xf numFmtId="1" fontId="15" fillId="0" borderId="0" xfId="6" applyNumberFormat="1" applyFont="1" applyAlignment="1">
      <alignment horizontal="center" vertical="center" wrapText="1"/>
    </xf>
    <xf numFmtId="1" fontId="15" fillId="0" borderId="0" xfId="2" applyNumberFormat="1" applyAlignment="1">
      <alignment horizontal="center" vertic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70" fontId="0" fillId="0" borderId="0" xfId="0" applyNumberFormat="1"/>
    <xf numFmtId="170" fontId="2" fillId="0" borderId="0" xfId="0" applyNumberFormat="1" applyFon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pivotButton="1"/>
    <xf numFmtId="0" fontId="35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1" fontId="9" fillId="0" borderId="9" xfId="41" applyNumberFormat="1" applyFont="1" applyBorder="1" applyAlignment="1" applyProtection="1">
      <alignment horizontal="center" vertical="center" shrinkToFit="1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1" fontId="9" fillId="0" borderId="11" xfId="42" applyNumberFormat="1" applyFont="1" applyBorder="1" applyAlignment="1" applyProtection="1">
      <alignment horizontal="center" vertical="center" shrinkToFit="1"/>
      <protection locked="0"/>
    </xf>
    <xf numFmtId="0" fontId="2" fillId="34" borderId="0" xfId="0" applyFont="1" applyFill="1" applyAlignment="1">
      <alignment horizontal="right"/>
    </xf>
    <xf numFmtId="1" fontId="0" fillId="35" borderId="6" xfId="0" applyNumberFormat="1" applyFill="1" applyBorder="1" applyAlignment="1">
      <alignment horizontal="center" vertical="center"/>
    </xf>
    <xf numFmtId="1" fontId="0" fillId="35" borderId="7" xfId="0" applyNumberFormat="1" applyFill="1" applyBorder="1" applyAlignment="1">
      <alignment horizontal="center" vertical="center"/>
    </xf>
    <xf numFmtId="2" fontId="0" fillId="35" borderId="8" xfId="0" applyNumberFormat="1" applyFill="1" applyBorder="1" applyAlignment="1">
      <alignment horizontal="center" vertical="center"/>
    </xf>
    <xf numFmtId="1" fontId="0" fillId="35" borderId="9" xfId="0" applyNumberFormat="1" applyFill="1" applyBorder="1" applyAlignment="1">
      <alignment horizontal="center" vertical="center"/>
    </xf>
    <xf numFmtId="1" fontId="0" fillId="35" borderId="0" xfId="0" applyNumberFormat="1" applyFill="1" applyAlignment="1">
      <alignment horizontal="center" vertical="center"/>
    </xf>
    <xf numFmtId="2" fontId="0" fillId="35" borderId="10" xfId="0" applyNumberFormat="1" applyFill="1" applyBorder="1" applyAlignment="1">
      <alignment horizontal="center" vertical="center"/>
    </xf>
    <xf numFmtId="0" fontId="2" fillId="35" borderId="12" xfId="0" applyFont="1" applyFill="1" applyBorder="1" applyAlignment="1">
      <alignment horizontal="center" vertical="center"/>
    </xf>
    <xf numFmtId="0" fontId="0" fillId="0" borderId="35" xfId="0" applyBorder="1"/>
    <xf numFmtId="0" fontId="0" fillId="0" borderId="0" xfId="0" applyAlignment="1">
      <alignment vertical="top"/>
    </xf>
    <xf numFmtId="0" fontId="0" fillId="36" borderId="0" xfId="0" applyFill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0" fillId="36" borderId="0" xfId="0" applyFill="1"/>
    <xf numFmtId="0" fontId="0" fillId="37" borderId="32" xfId="0" applyFill="1" applyBorder="1"/>
    <xf numFmtId="0" fontId="0" fillId="37" borderId="33" xfId="0" applyFill="1" applyBorder="1"/>
    <xf numFmtId="0" fontId="0" fillId="37" borderId="0" xfId="0" applyFill="1"/>
    <xf numFmtId="0" fontId="0" fillId="37" borderId="35" xfId="0" applyFill="1" applyBorder="1"/>
    <xf numFmtId="0" fontId="0" fillId="37" borderId="37" xfId="0" applyFill="1" applyBorder="1"/>
    <xf numFmtId="0" fontId="0" fillId="37" borderId="38" xfId="0" applyFill="1" applyBorder="1"/>
    <xf numFmtId="0" fontId="2" fillId="37" borderId="34" xfId="0" applyFont="1" applyFill="1" applyBorder="1" applyAlignment="1">
      <alignment horizontal="right"/>
    </xf>
    <xf numFmtId="0" fontId="0" fillId="37" borderId="34" xfId="0" applyFill="1" applyBorder="1" applyAlignment="1">
      <alignment horizontal="right"/>
    </xf>
    <xf numFmtId="0" fontId="0" fillId="0" borderId="29" xfId="0" applyBorder="1" applyAlignment="1">
      <alignment horizontal="center"/>
    </xf>
    <xf numFmtId="0" fontId="2" fillId="37" borderId="40" xfId="0" applyFont="1" applyFill="1" applyBorder="1" applyAlignment="1">
      <alignment horizontal="center"/>
    </xf>
    <xf numFmtId="0" fontId="2" fillId="37" borderId="41" xfId="0" applyFont="1" applyFill="1" applyBorder="1" applyAlignment="1">
      <alignment horizontal="center"/>
    </xf>
    <xf numFmtId="0" fontId="0" fillId="37" borderId="36" xfId="0" applyFill="1" applyBorder="1" applyAlignment="1">
      <alignment horizontal="right"/>
    </xf>
    <xf numFmtId="0" fontId="0" fillId="37" borderId="31" xfId="0" applyFill="1" applyBorder="1" applyAlignment="1">
      <alignment horizontal="right"/>
    </xf>
    <xf numFmtId="0" fontId="0" fillId="37" borderId="34" xfId="0" applyFill="1" applyBorder="1"/>
    <xf numFmtId="0" fontId="0" fillId="37" borderId="0" xfId="0" applyFill="1" applyAlignment="1">
      <alignment vertical="top"/>
    </xf>
    <xf numFmtId="0" fontId="0" fillId="37" borderId="35" xfId="0" applyFill="1" applyBorder="1" applyAlignment="1">
      <alignment vertical="top"/>
    </xf>
    <xf numFmtId="0" fontId="0" fillId="37" borderId="0" xfId="0" applyFill="1" applyAlignment="1">
      <alignment horizontal="right"/>
    </xf>
    <xf numFmtId="0" fontId="2" fillId="0" borderId="40" xfId="0" applyFont="1" applyBorder="1"/>
    <xf numFmtId="0" fontId="0" fillId="0" borderId="40" xfId="0" applyBorder="1"/>
    <xf numFmtId="0" fontId="0" fillId="0" borderId="40" xfId="0" applyBorder="1" applyAlignment="1">
      <alignment horizontal="right"/>
    </xf>
    <xf numFmtId="0" fontId="38" fillId="37" borderId="0" xfId="0" applyFont="1" applyFill="1" applyAlignment="1">
      <alignment horizontal="left" vertical="center"/>
    </xf>
    <xf numFmtId="179" fontId="25" fillId="0" borderId="29" xfId="0" applyNumberFormat="1" applyFont="1" applyBorder="1" applyAlignment="1">
      <alignment horizontal="right"/>
    </xf>
    <xf numFmtId="14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center" wrapText="1"/>
    </xf>
    <xf numFmtId="0" fontId="25" fillId="0" borderId="49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/>
    </xf>
    <xf numFmtId="14" fontId="25" fillId="0" borderId="50" xfId="0" applyNumberFormat="1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/>
    </xf>
    <xf numFmtId="14" fontId="25" fillId="0" borderId="51" xfId="0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/>
    </xf>
    <xf numFmtId="0" fontId="40" fillId="0" borderId="0" xfId="0" applyFont="1"/>
    <xf numFmtId="0" fontId="42" fillId="37" borderId="31" xfId="0" applyFont="1" applyFill="1" applyBorder="1"/>
    <xf numFmtId="0" fontId="42" fillId="37" borderId="34" xfId="0" applyFont="1" applyFill="1" applyBorder="1" applyAlignment="1">
      <alignment horizontal="right"/>
    </xf>
    <xf numFmtId="0" fontId="42" fillId="37" borderId="34" xfId="0" applyFont="1" applyFill="1" applyBorder="1" applyAlignment="1">
      <alignment vertical="center"/>
    </xf>
    <xf numFmtId="0" fontId="42" fillId="37" borderId="34" xfId="0" applyFont="1" applyFill="1" applyBorder="1" applyAlignment="1">
      <alignment vertical="top" wrapText="1"/>
    </xf>
    <xf numFmtId="0" fontId="42" fillId="37" borderId="34" xfId="0" applyFont="1" applyFill="1" applyBorder="1" applyAlignment="1">
      <alignment horizontal="right" vertical="top"/>
    </xf>
    <xf numFmtId="0" fontId="42" fillId="37" borderId="34" xfId="0" applyFont="1" applyFill="1" applyBorder="1" applyAlignment="1">
      <alignment vertical="top"/>
    </xf>
    <xf numFmtId="0" fontId="41" fillId="37" borderId="34" xfId="0" applyFont="1" applyFill="1" applyBorder="1" applyAlignment="1">
      <alignment horizontal="right"/>
    </xf>
    <xf numFmtId="0" fontId="41" fillId="37" borderId="36" xfId="0" applyFont="1" applyFill="1" applyBorder="1"/>
    <xf numFmtId="0" fontId="0" fillId="37" borderId="32" xfId="0" applyFill="1" applyBorder="1" applyAlignment="1">
      <alignment horizontal="left"/>
    </xf>
    <xf numFmtId="0" fontId="0" fillId="37" borderId="0" xfId="0" applyFill="1" applyAlignment="1">
      <alignment horizontal="left"/>
    </xf>
    <xf numFmtId="0" fontId="2" fillId="37" borderId="39" xfId="0" applyFont="1" applyFill="1" applyBorder="1" applyAlignment="1">
      <alignment horizontal="center" vertical="center"/>
    </xf>
    <xf numFmtId="0" fontId="2" fillId="37" borderId="40" xfId="0" applyFont="1" applyFill="1" applyBorder="1" applyAlignment="1">
      <alignment horizontal="center" vertical="center"/>
    </xf>
    <xf numFmtId="170" fontId="2" fillId="37" borderId="40" xfId="0" applyNumberFormat="1" applyFont="1" applyFill="1" applyBorder="1" applyAlignment="1">
      <alignment horizontal="center" vertical="center"/>
    </xf>
    <xf numFmtId="170" fontId="2" fillId="37" borderId="41" xfId="0" applyNumberFormat="1" applyFont="1" applyFill="1" applyBorder="1" applyAlignment="1">
      <alignment horizontal="center" vertical="center"/>
    </xf>
    <xf numFmtId="0" fontId="0" fillId="37" borderId="36" xfId="0" applyFill="1" applyBorder="1"/>
    <xf numFmtId="0" fontId="0" fillId="37" borderId="37" xfId="0" applyFill="1" applyBorder="1" applyAlignment="1">
      <alignment horizontal="left"/>
    </xf>
    <xf numFmtId="0" fontId="0" fillId="37" borderId="31" xfId="0" applyFill="1" applyBorder="1"/>
    <xf numFmtId="0" fontId="0" fillId="39" borderId="0" xfId="0" applyFill="1" applyAlignment="1">
      <alignment horizontal="center"/>
    </xf>
    <xf numFmtId="179" fontId="25" fillId="0" borderId="1" xfId="0" applyNumberFormat="1" applyFont="1" applyBorder="1" applyAlignment="1">
      <alignment horizontal="right"/>
    </xf>
    <xf numFmtId="1" fontId="0" fillId="0" borderId="0" xfId="0" applyNumberFormat="1"/>
    <xf numFmtId="180" fontId="0" fillId="0" borderId="0" xfId="0" applyNumberFormat="1"/>
    <xf numFmtId="0" fontId="0" fillId="37" borderId="32" xfId="0" applyFill="1" applyBorder="1" applyAlignment="1">
      <alignment horizontal="center"/>
    </xf>
    <xf numFmtId="0" fontId="0" fillId="37" borderId="0" xfId="0" applyFill="1" applyAlignment="1">
      <alignment horizontal="center"/>
    </xf>
    <xf numFmtId="0" fontId="0" fillId="37" borderId="37" xfId="0" applyFill="1" applyBorder="1" applyAlignment="1">
      <alignment horizontal="center"/>
    </xf>
    <xf numFmtId="0" fontId="0" fillId="37" borderId="0" xfId="0" applyFill="1" applyAlignment="1">
      <alignment horizontal="center" vertical="center"/>
    </xf>
    <xf numFmtId="0" fontId="0" fillId="37" borderId="0" xfId="0" applyFill="1" applyAlignment="1">
      <alignment vertical="center"/>
    </xf>
    <xf numFmtId="0" fontId="0" fillId="37" borderId="0" xfId="0" applyFill="1" applyAlignment="1">
      <alignment horizontal="left" vertical="center"/>
    </xf>
    <xf numFmtId="0" fontId="0" fillId="0" borderId="34" xfId="0" applyBorder="1"/>
    <xf numFmtId="0" fontId="0" fillId="0" borderId="36" xfId="0" applyBorder="1"/>
    <xf numFmtId="0" fontId="0" fillId="0" borderId="37" xfId="0" applyBorder="1"/>
    <xf numFmtId="0" fontId="0" fillId="0" borderId="37" xfId="0" applyBorder="1" applyAlignment="1">
      <alignment horizontal="center"/>
    </xf>
    <xf numFmtId="1" fontId="0" fillId="0" borderId="29" xfId="0" applyNumberFormat="1" applyBorder="1" applyAlignment="1">
      <alignment horizontal="center"/>
    </xf>
    <xf numFmtId="0" fontId="2" fillId="37" borderId="52" xfId="0" applyFont="1" applyFill="1" applyBorder="1" applyAlignment="1">
      <alignment horizontal="center"/>
    </xf>
    <xf numFmtId="0" fontId="2" fillId="0" borderId="10" xfId="0" applyFont="1" applyBorder="1" applyAlignment="1">
      <alignment horizontal="right"/>
    </xf>
    <xf numFmtId="0" fontId="0" fillId="0" borderId="42" xfId="0" applyBorder="1"/>
    <xf numFmtId="0" fontId="0" fillId="0" borderId="43" xfId="0" applyBorder="1"/>
    <xf numFmtId="0" fontId="38" fillId="37" borderId="0" xfId="0" applyFont="1" applyFill="1" applyAlignment="1">
      <alignment vertical="center"/>
    </xf>
    <xf numFmtId="0" fontId="44" fillId="0" borderId="0" xfId="0" applyFont="1"/>
    <xf numFmtId="0" fontId="45" fillId="0" borderId="0" xfId="0" applyFont="1"/>
    <xf numFmtId="178" fontId="0" fillId="0" borderId="29" xfId="0" applyNumberFormat="1" applyBorder="1" applyAlignment="1">
      <alignment horizontal="left"/>
    </xf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37" borderId="37" xfId="0" applyFill="1" applyBorder="1" applyAlignment="1">
      <alignment horizontal="right"/>
    </xf>
    <xf numFmtId="0" fontId="0" fillId="37" borderId="0" xfId="0" applyFill="1" applyAlignment="1">
      <alignment horizontal="right" vertical="center"/>
    </xf>
    <xf numFmtId="0" fontId="0" fillId="37" borderId="0" xfId="0" applyFill="1" applyAlignment="1">
      <alignment horizontal="right" shrinkToFit="1"/>
    </xf>
    <xf numFmtId="0" fontId="2" fillId="0" borderId="40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0" fillId="0" borderId="4" xfId="0" applyBorder="1"/>
    <xf numFmtId="1" fontId="2" fillId="37" borderId="40" xfId="0" applyNumberFormat="1" applyFont="1" applyFill="1" applyBorder="1" applyAlignment="1">
      <alignment horizontal="center" vertical="center"/>
    </xf>
    <xf numFmtId="0" fontId="0" fillId="0" borderId="21" xfId="0" applyBorder="1"/>
    <xf numFmtId="0" fontId="15" fillId="0" borderId="20" xfId="2" applyBorder="1" applyAlignment="1">
      <alignment vertical="center"/>
    </xf>
    <xf numFmtId="0" fontId="15" fillId="0" borderId="0" xfId="2" applyAlignment="1">
      <alignment vertical="center"/>
    </xf>
    <xf numFmtId="0" fontId="15" fillId="0" borderId="14" xfId="2" applyBorder="1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horizontal="left" vertical="center"/>
    </xf>
    <xf numFmtId="0" fontId="15" fillId="0" borderId="21" xfId="2" applyBorder="1" applyAlignment="1">
      <alignment vertical="center"/>
    </xf>
    <xf numFmtId="0" fontId="16" fillId="0" borderId="14" xfId="2" applyFont="1" applyBorder="1" applyAlignment="1">
      <alignment horizontal="left" vertical="center" indent="1"/>
    </xf>
    <xf numFmtId="0" fontId="16" fillId="0" borderId="0" xfId="2" applyFont="1" applyAlignment="1">
      <alignment vertical="center"/>
    </xf>
    <xf numFmtId="0" fontId="15" fillId="0" borderId="14" xfId="2" applyBorder="1" applyAlignment="1">
      <alignment horizontal="left" vertical="center" indent="1"/>
    </xf>
    <xf numFmtId="0" fontId="15" fillId="0" borderId="22" xfId="2" applyBorder="1" applyAlignment="1">
      <alignment vertical="center"/>
    </xf>
    <xf numFmtId="0" fontId="15" fillId="0" borderId="23" xfId="2" applyBorder="1" applyAlignment="1">
      <alignment vertical="center"/>
    </xf>
    <xf numFmtId="0" fontId="15" fillId="0" borderId="23" xfId="2" applyBorder="1" applyAlignment="1">
      <alignment horizontal="right" vertical="center"/>
    </xf>
    <xf numFmtId="0" fontId="15" fillId="0" borderId="23" xfId="2" applyBorder="1" applyAlignment="1">
      <alignment horizontal="left" vertical="center"/>
    </xf>
    <xf numFmtId="0" fontId="15" fillId="0" borderId="24" xfId="2" applyBorder="1" applyAlignment="1">
      <alignment vertical="center"/>
    </xf>
    <xf numFmtId="0" fontId="15" fillId="0" borderId="22" xfId="2" applyBorder="1" applyAlignment="1">
      <alignment horizontal="left" vertical="center" indent="1"/>
    </xf>
    <xf numFmtId="0" fontId="18" fillId="0" borderId="0" xfId="2" applyFont="1" applyAlignment="1">
      <alignment vertical="center"/>
    </xf>
    <xf numFmtId="0" fontId="23" fillId="0" borderId="25" xfId="2" applyFont="1" applyBorder="1" applyAlignment="1">
      <alignment horizontal="left" vertical="top"/>
    </xf>
    <xf numFmtId="0" fontId="23" fillId="0" borderId="0" xfId="2" applyFont="1" applyAlignment="1">
      <alignment vertical="center"/>
    </xf>
    <xf numFmtId="0" fontId="3" fillId="0" borderId="0" xfId="2" applyFont="1" applyAlignment="1">
      <alignment vertical="center"/>
    </xf>
    <xf numFmtId="0" fontId="23" fillId="0" borderId="19" xfId="2" applyFont="1" applyBorder="1" applyAlignment="1">
      <alignment horizontal="center" vertical="center" wrapText="1"/>
    </xf>
    <xf numFmtId="0" fontId="23" fillId="0" borderId="20" xfId="2" applyFont="1" applyBorder="1" applyAlignment="1">
      <alignment horizontal="center" vertical="center" wrapText="1"/>
    </xf>
    <xf numFmtId="0" fontId="23" fillId="0" borderId="54" xfId="2" applyFont="1" applyBorder="1" applyAlignment="1">
      <alignment horizontal="center" vertical="center" wrapText="1"/>
    </xf>
    <xf numFmtId="0" fontId="23" fillId="0" borderId="54" xfId="2" applyFont="1" applyBorder="1" applyAlignment="1">
      <alignment horizontal="center" vertical="center"/>
    </xf>
    <xf numFmtId="183" fontId="15" fillId="0" borderId="0" xfId="2" applyNumberFormat="1" applyAlignment="1">
      <alignment vertical="center"/>
    </xf>
    <xf numFmtId="183" fontId="15" fillId="0" borderId="0" xfId="2" applyNumberFormat="1" applyAlignment="1">
      <alignment horizontal="right" vertical="center"/>
    </xf>
    <xf numFmtId="183" fontId="15" fillId="0" borderId="0" xfId="2" applyNumberFormat="1" applyAlignment="1">
      <alignment horizontal="center" vertical="center"/>
    </xf>
    <xf numFmtId="0" fontId="16" fillId="0" borderId="18" xfId="2" applyFont="1" applyBorder="1" applyAlignment="1">
      <alignment vertical="center"/>
    </xf>
    <xf numFmtId="0" fontId="0" fillId="0" borderId="14" xfId="0" applyBorder="1"/>
    <xf numFmtId="0" fontId="23" fillId="0" borderId="25" xfId="2" applyFont="1" applyBorder="1" applyAlignment="1">
      <alignment horizontal="center" vertical="center"/>
    </xf>
    <xf numFmtId="0" fontId="23" fillId="0" borderId="25" xfId="2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23" fillId="0" borderId="18" xfId="2" applyFont="1" applyBorder="1" applyAlignment="1">
      <alignment horizontal="center" vertical="center" wrapText="1"/>
    </xf>
    <xf numFmtId="184" fontId="15" fillId="0" borderId="0" xfId="2" applyNumberFormat="1" applyAlignment="1">
      <alignment vertical="center"/>
    </xf>
    <xf numFmtId="184" fontId="15" fillId="0" borderId="0" xfId="2" applyNumberFormat="1" applyAlignment="1">
      <alignment horizontal="right" vertical="center"/>
    </xf>
    <xf numFmtId="0" fontId="23" fillId="0" borderId="18" xfId="2" applyFont="1" applyBorder="1" applyAlignment="1">
      <alignment vertical="top"/>
    </xf>
    <xf numFmtId="0" fontId="23" fillId="0" borderId="19" xfId="2" applyFont="1" applyBorder="1" applyAlignment="1">
      <alignment vertical="top"/>
    </xf>
    <xf numFmtId="0" fontId="23" fillId="0" borderId="14" xfId="2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 wrapText="1"/>
    </xf>
    <xf numFmtId="0" fontId="23" fillId="0" borderId="21" xfId="2" applyFont="1" applyBorder="1" applyAlignment="1">
      <alignment horizontal="center" vertical="center" wrapText="1"/>
    </xf>
    <xf numFmtId="0" fontId="23" fillId="0" borderId="26" xfId="2" applyFont="1" applyBorder="1" applyAlignment="1">
      <alignment horizontal="center" vertical="center"/>
    </xf>
    <xf numFmtId="0" fontId="23" fillId="0" borderId="26" xfId="2" applyFont="1" applyBorder="1" applyAlignment="1">
      <alignment horizontal="center" vertical="center" wrapText="1"/>
    </xf>
    <xf numFmtId="0" fontId="17" fillId="0" borderId="14" xfId="2" applyFont="1" applyBorder="1" applyAlignment="1">
      <alignment horizontal="left" vertical="center" indent="1"/>
    </xf>
    <xf numFmtId="0" fontId="18" fillId="0" borderId="14" xfId="2" applyFont="1" applyBorder="1" applyAlignment="1">
      <alignment horizontal="left" vertical="center" indent="1"/>
    </xf>
    <xf numFmtId="0" fontId="18" fillId="0" borderId="22" xfId="2" applyFont="1" applyBorder="1" applyAlignment="1">
      <alignment horizontal="left" vertical="center" indent="1"/>
    </xf>
    <xf numFmtId="14" fontId="0" fillId="36" borderId="0" xfId="0" applyNumberFormat="1" applyFill="1" applyAlignment="1">
      <alignment horizontal="center"/>
    </xf>
    <xf numFmtId="14" fontId="2" fillId="37" borderId="40" xfId="0" applyNumberFormat="1" applyFont="1" applyFill="1" applyBorder="1" applyAlignment="1">
      <alignment horizontal="center"/>
    </xf>
    <xf numFmtId="14" fontId="0" fillId="0" borderId="33" xfId="0" applyNumberFormat="1" applyBorder="1"/>
    <xf numFmtId="14" fontId="0" fillId="0" borderId="35" xfId="0" applyNumberFormat="1" applyBorder="1"/>
    <xf numFmtId="14" fontId="0" fillId="0" borderId="35" xfId="0" applyNumberFormat="1" applyBorder="1" applyAlignment="1">
      <alignment horizontal="center"/>
    </xf>
    <xf numFmtId="14" fontId="0" fillId="37" borderId="32" xfId="0" applyNumberFormat="1" applyFill="1" applyBorder="1"/>
    <xf numFmtId="14" fontId="0" fillId="37" borderId="0" xfId="0" applyNumberFormat="1" applyFill="1"/>
    <xf numFmtId="14" fontId="0" fillId="37" borderId="37" xfId="0" applyNumberFormat="1" applyFill="1" applyBorder="1"/>
    <xf numFmtId="14" fontId="0" fillId="37" borderId="0" xfId="0" applyNumberFormat="1" applyFill="1" applyAlignment="1">
      <alignment horizontal="right"/>
    </xf>
    <xf numFmtId="0" fontId="0" fillId="0" borderId="14" xfId="0" applyFont="1" applyBorder="1"/>
    <xf numFmtId="179" fontId="25" fillId="37" borderId="9" xfId="0" applyNumberFormat="1" applyFont="1" applyFill="1" applyBorder="1" applyAlignment="1">
      <alignment horizontal="right"/>
    </xf>
    <xf numFmtId="179" fontId="25" fillId="37" borderId="11" xfId="0" applyNumberFormat="1" applyFont="1" applyFill="1" applyBorder="1" applyAlignment="1">
      <alignment horizontal="right"/>
    </xf>
    <xf numFmtId="0" fontId="0" fillId="0" borderId="29" xfId="0" applyBorder="1" applyAlignment="1" applyProtection="1">
      <alignment horizontal="center" vertical="center"/>
      <protection locked="0"/>
    </xf>
    <xf numFmtId="0" fontId="25" fillId="0" borderId="29" xfId="0" applyFont="1" applyBorder="1" applyAlignment="1" applyProtection="1">
      <alignment horizontal="center" vertical="center" shrinkToFit="1"/>
      <protection locked="0"/>
    </xf>
    <xf numFmtId="0" fontId="25" fillId="34" borderId="29" xfId="0" applyFont="1" applyFill="1" applyBorder="1" applyProtection="1">
      <protection locked="0" hidden="1"/>
    </xf>
    <xf numFmtId="0" fontId="0" fillId="37" borderId="42" xfId="0" applyFill="1" applyBorder="1" applyProtection="1">
      <protection locked="0" hidden="1"/>
    </xf>
    <xf numFmtId="0" fontId="1" fillId="37" borderId="42" xfId="0" applyFont="1" applyFill="1" applyBorder="1" applyProtection="1">
      <protection locked="0" hidden="1"/>
    </xf>
    <xf numFmtId="0" fontId="1" fillId="37" borderId="43" xfId="0" applyFont="1" applyFill="1" applyBorder="1" applyProtection="1">
      <protection locked="0" hidden="1"/>
    </xf>
    <xf numFmtId="0" fontId="0" fillId="0" borderId="29" xfId="0" applyBorder="1" applyAlignment="1" applyProtection="1">
      <alignment horizontal="center"/>
    </xf>
    <xf numFmtId="1" fontId="0" fillId="0" borderId="29" xfId="0" applyNumberFormat="1" applyBorder="1" applyAlignment="1" applyProtection="1">
      <alignment horizontal="center"/>
    </xf>
    <xf numFmtId="0" fontId="0" fillId="38" borderId="44" xfId="0" applyFill="1" applyBorder="1" applyAlignment="1" applyProtection="1">
      <alignment horizontal="left"/>
      <protection locked="0" hidden="1"/>
    </xf>
    <xf numFmtId="14" fontId="0" fillId="38" borderId="26" xfId="0" applyNumberFormat="1" applyFill="1" applyBorder="1" applyAlignment="1" applyProtection="1">
      <alignment horizontal="center"/>
      <protection locked="0" hidden="1"/>
    </xf>
    <xf numFmtId="0" fontId="0" fillId="38" borderId="46" xfId="0" applyFill="1" applyBorder="1" applyAlignment="1" applyProtection="1">
      <alignment horizontal="left"/>
      <protection locked="0" hidden="1"/>
    </xf>
    <xf numFmtId="14" fontId="0" fillId="38" borderId="47" xfId="0" applyNumberFormat="1" applyFill="1" applyBorder="1" applyAlignment="1" applyProtection="1">
      <alignment horizontal="center"/>
      <protection locked="0" hidden="1"/>
    </xf>
    <xf numFmtId="0" fontId="0" fillId="39" borderId="29" xfId="0" applyFill="1" applyBorder="1" applyProtection="1">
      <protection locked="0"/>
    </xf>
    <xf numFmtId="14" fontId="0" fillId="39" borderId="29" xfId="0" applyNumberFormat="1" applyFill="1" applyBorder="1" applyAlignment="1" applyProtection="1">
      <alignment horizontal="center"/>
      <protection locked="0"/>
    </xf>
    <xf numFmtId="0" fontId="40" fillId="0" borderId="0" xfId="0" applyFont="1" applyAlignment="1"/>
    <xf numFmtId="0" fontId="0" fillId="0" borderId="3" xfId="0" applyBorder="1"/>
    <xf numFmtId="0" fontId="2" fillId="0" borderId="5" xfId="0" applyFont="1" applyBorder="1" applyAlignment="1">
      <alignment horizontal="right"/>
    </xf>
    <xf numFmtId="178" fontId="0" fillId="0" borderId="29" xfId="0" applyNumberFormat="1" applyFill="1" applyBorder="1" applyAlignment="1">
      <alignment horizontal="left"/>
    </xf>
    <xf numFmtId="0" fontId="0" fillId="0" borderId="29" xfId="0" applyFill="1" applyBorder="1" applyAlignment="1" applyProtection="1">
      <alignment horizontal="center" vertical="center"/>
      <protection hidden="1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4" xfId="0" applyFill="1" applyBorder="1"/>
    <xf numFmtId="0" fontId="0" fillId="0" borderId="3" xfId="0" applyFill="1" applyBorder="1" applyAlignment="1">
      <alignment horizontal="left" vertical="center"/>
    </xf>
    <xf numFmtId="0" fontId="0" fillId="0" borderId="5" xfId="0" applyFill="1" applyBorder="1"/>
    <xf numFmtId="0" fontId="0" fillId="37" borderId="0" xfId="0" applyFill="1" applyBorder="1"/>
    <xf numFmtId="0" fontId="0" fillId="37" borderId="0" xfId="0" applyFill="1" applyBorder="1" applyAlignment="1">
      <alignment horizontal="left" vertical="center"/>
    </xf>
    <xf numFmtId="185" fontId="15" fillId="0" borderId="0" xfId="2" applyNumberFormat="1" applyAlignment="1">
      <alignment vertical="center"/>
    </xf>
    <xf numFmtId="185" fontId="15" fillId="0" borderId="0" xfId="2" applyNumberFormat="1" applyAlignment="1">
      <alignment horizontal="right" vertical="center"/>
    </xf>
    <xf numFmtId="0" fontId="0" fillId="39" borderId="34" xfId="0" applyFill="1" applyBorder="1" applyAlignment="1" applyProtection="1">
      <alignment horizontal="center" vertical="center"/>
      <protection locked="0" hidden="1"/>
    </xf>
    <xf numFmtId="3" fontId="1" fillId="39" borderId="44" xfId="0" applyNumberFormat="1" applyFont="1" applyFill="1" applyBorder="1" applyAlignment="1" applyProtection="1">
      <alignment horizontal="center"/>
      <protection locked="0" hidden="1"/>
    </xf>
    <xf numFmtId="1" fontId="1" fillId="39" borderId="21" xfId="0" applyNumberFormat="1" applyFont="1" applyFill="1" applyBorder="1" applyAlignment="1" applyProtection="1">
      <alignment horizontal="center"/>
      <protection locked="0" hidden="1"/>
    </xf>
    <xf numFmtId="3" fontId="1" fillId="39" borderId="42" xfId="0" applyNumberFormat="1" applyFont="1" applyFill="1" applyBorder="1" applyAlignment="1" applyProtection="1">
      <alignment horizontal="center"/>
      <protection locked="0" hidden="1"/>
    </xf>
    <xf numFmtId="1" fontId="1" fillId="37" borderId="59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60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44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21" xfId="0" applyNumberFormat="1" applyFont="1" applyFill="1" applyBorder="1" applyAlignment="1" applyProtection="1">
      <alignment horizontal="center" vertical="center"/>
      <protection locked="0" hidden="1"/>
    </xf>
    <xf numFmtId="3" fontId="25" fillId="39" borderId="44" xfId="2" applyNumberFormat="1" applyFont="1" applyFill="1" applyBorder="1" applyAlignment="1" applyProtection="1">
      <alignment horizontal="center" vertical="center"/>
      <protection locked="0" hidden="1"/>
    </xf>
    <xf numFmtId="0" fontId="25" fillId="39" borderId="34" xfId="2" applyFont="1" applyFill="1" applyBorder="1" applyAlignment="1" applyProtection="1">
      <alignment horizontal="center" vertical="center"/>
      <protection locked="0" hidden="1"/>
    </xf>
    <xf numFmtId="0" fontId="1" fillId="39" borderId="34" xfId="0" applyFont="1" applyFill="1" applyBorder="1" applyAlignment="1" applyProtection="1">
      <alignment horizontal="center" vertical="center"/>
      <protection locked="0" hidden="1"/>
    </xf>
    <xf numFmtId="1" fontId="1" fillId="39" borderId="21" xfId="0" applyNumberFormat="1" applyFont="1" applyFill="1" applyBorder="1" applyProtection="1">
      <protection locked="0" hidden="1"/>
    </xf>
    <xf numFmtId="3" fontId="1" fillId="39" borderId="42" xfId="0" applyNumberFormat="1" applyFont="1" applyFill="1" applyBorder="1" applyProtection="1">
      <protection locked="0" hidden="1"/>
    </xf>
    <xf numFmtId="1" fontId="1" fillId="39" borderId="44" xfId="0" applyNumberFormat="1" applyFont="1" applyFill="1" applyBorder="1" applyProtection="1">
      <protection locked="0" hidden="1"/>
    </xf>
    <xf numFmtId="0" fontId="1" fillId="39" borderId="36" xfId="0" applyFont="1" applyFill="1" applyBorder="1" applyAlignment="1" applyProtection="1">
      <alignment horizontal="center" vertical="center"/>
      <protection locked="0" hidden="1"/>
    </xf>
    <xf numFmtId="3" fontId="1" fillId="39" borderId="46" xfId="0" applyNumberFormat="1" applyFont="1" applyFill="1" applyBorder="1" applyAlignment="1" applyProtection="1">
      <alignment horizontal="center"/>
      <protection locked="0" hidden="1"/>
    </xf>
    <xf numFmtId="1" fontId="1" fillId="39" borderId="46" xfId="0" applyNumberFormat="1" applyFont="1" applyFill="1" applyBorder="1" applyProtection="1">
      <protection locked="0" hidden="1"/>
    </xf>
    <xf numFmtId="3" fontId="1" fillId="39" borderId="43" xfId="0" applyNumberFormat="1" applyFont="1" applyFill="1" applyBorder="1" applyProtection="1">
      <protection locked="0" hidden="1"/>
    </xf>
    <xf numFmtId="1" fontId="1" fillId="37" borderId="46" xfId="0" applyNumberFormat="1" applyFont="1" applyFill="1" applyBorder="1" applyAlignment="1" applyProtection="1">
      <alignment horizontal="right"/>
      <protection locked="0" hidden="1"/>
    </xf>
    <xf numFmtId="1" fontId="1" fillId="37" borderId="53" xfId="0" applyNumberFormat="1" applyFont="1" applyFill="1" applyBorder="1" applyAlignment="1" applyProtection="1">
      <alignment horizontal="right"/>
      <protection locked="0" hidden="1"/>
    </xf>
    <xf numFmtId="178" fontId="1" fillId="37" borderId="53" xfId="0" applyNumberFormat="1" applyFont="1" applyFill="1" applyBorder="1" applyAlignment="1" applyProtection="1">
      <alignment horizontal="right"/>
      <protection locked="0" hidden="1"/>
    </xf>
    <xf numFmtId="0" fontId="0" fillId="40" borderId="31" xfId="0" applyFill="1" applyBorder="1"/>
    <xf numFmtId="0" fontId="0" fillId="40" borderId="32" xfId="0" applyFill="1" applyBorder="1"/>
    <xf numFmtId="0" fontId="0" fillId="40" borderId="32" xfId="0" applyFill="1" applyBorder="1" applyAlignment="1">
      <alignment horizontal="center"/>
    </xf>
    <xf numFmtId="0" fontId="0" fillId="40" borderId="33" xfId="0" applyFill="1" applyBorder="1"/>
    <xf numFmtId="0" fontId="0" fillId="40" borderId="34" xfId="0" applyFill="1" applyBorder="1"/>
    <xf numFmtId="0" fontId="0" fillId="40" borderId="35" xfId="0" applyFill="1" applyBorder="1"/>
    <xf numFmtId="0" fontId="0" fillId="40" borderId="36" xfId="0" applyFill="1" applyBorder="1"/>
    <xf numFmtId="0" fontId="0" fillId="40" borderId="37" xfId="0" applyFill="1" applyBorder="1"/>
    <xf numFmtId="0" fontId="0" fillId="40" borderId="37" xfId="0" applyFill="1" applyBorder="1" applyAlignment="1">
      <alignment horizontal="center"/>
    </xf>
    <xf numFmtId="0" fontId="0" fillId="40" borderId="38" xfId="0" applyFill="1" applyBorder="1"/>
    <xf numFmtId="0" fontId="0" fillId="40" borderId="0" xfId="0" applyFill="1" applyBorder="1" applyAlignment="1">
      <alignment vertical="top"/>
    </xf>
    <xf numFmtId="0" fontId="0" fillId="40" borderId="0" xfId="0" applyFill="1" applyBorder="1"/>
    <xf numFmtId="0" fontId="0" fillId="40" borderId="0" xfId="0" applyFill="1" applyBorder="1" applyAlignment="1">
      <alignment horizontal="center"/>
    </xf>
    <xf numFmtId="14" fontId="25" fillId="0" borderId="61" xfId="0" applyNumberFormat="1" applyFont="1" applyBorder="1" applyAlignment="1">
      <alignment horizontal="center" vertical="center"/>
    </xf>
    <xf numFmtId="14" fontId="25" fillId="0" borderId="62" xfId="0" applyNumberFormat="1" applyFont="1" applyBorder="1" applyAlignment="1">
      <alignment horizontal="center" vertical="center"/>
    </xf>
    <xf numFmtId="0" fontId="0" fillId="40" borderId="0" xfId="0" applyFill="1" applyBorder="1" applyAlignment="1">
      <alignment horizontal="left" vertical="top"/>
    </xf>
    <xf numFmtId="0" fontId="2" fillId="0" borderId="0" xfId="0" applyFont="1" applyAlignment="1">
      <alignment horizontal="center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8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13" xfId="41" applyFont="1" applyBorder="1" applyAlignment="1">
      <alignment vertical="center"/>
    </xf>
    <xf numFmtId="0" fontId="1" fillId="0" borderId="10" xfId="41" applyBorder="1" applyAlignment="1">
      <alignment textRotation="90"/>
    </xf>
    <xf numFmtId="2" fontId="1" fillId="37" borderId="32" xfId="0" applyNumberFormat="1" applyFont="1" applyFill="1" applyBorder="1" applyAlignment="1" applyProtection="1">
      <alignment horizontal="center" vertical="center"/>
      <protection locked="0" hidden="1"/>
    </xf>
    <xf numFmtId="2" fontId="1" fillId="37" borderId="0" xfId="0" applyNumberFormat="1" applyFont="1" applyFill="1" applyBorder="1" applyAlignment="1" applyProtection="1">
      <alignment horizontal="center" vertical="center"/>
      <protection locked="0" hidden="1"/>
    </xf>
    <xf numFmtId="2" fontId="1" fillId="37" borderId="37" xfId="0" applyNumberFormat="1" applyFont="1" applyFill="1" applyBorder="1" applyAlignment="1" applyProtection="1">
      <alignment horizontal="center"/>
      <protection locked="0" hidden="1"/>
    </xf>
    <xf numFmtId="2" fontId="46" fillId="42" borderId="65" xfId="2" applyNumberFormat="1" applyFont="1" applyFill="1" applyBorder="1" applyAlignment="1">
      <alignment horizontal="center" vertical="center"/>
    </xf>
    <xf numFmtId="1" fontId="46" fillId="42" borderId="65" xfId="2" applyNumberFormat="1" applyFont="1" applyFill="1" applyBorder="1" applyAlignment="1">
      <alignment horizontal="center" vertical="center"/>
    </xf>
    <xf numFmtId="1" fontId="46" fillId="42" borderId="66" xfId="2" applyNumberFormat="1" applyFont="1" applyFill="1" applyBorder="1" applyAlignment="1">
      <alignment horizontal="center" vertical="center"/>
    </xf>
    <xf numFmtId="2" fontId="46" fillId="43" borderId="65" xfId="2" applyNumberFormat="1" applyFont="1" applyFill="1" applyBorder="1" applyAlignment="1">
      <alignment horizontal="center" vertical="center"/>
    </xf>
    <xf numFmtId="1" fontId="46" fillId="43" borderId="65" xfId="2" applyNumberFormat="1" applyFont="1" applyFill="1" applyBorder="1" applyAlignment="1">
      <alignment horizontal="center" vertical="center"/>
    </xf>
    <xf numFmtId="1" fontId="46" fillId="43" borderId="66" xfId="2" applyNumberFormat="1" applyFont="1" applyFill="1" applyBorder="1" applyAlignment="1">
      <alignment horizontal="center" vertical="center"/>
    </xf>
    <xf numFmtId="2" fontId="47" fillId="41" borderId="63" xfId="2" applyNumberFormat="1" applyFont="1" applyFill="1" applyBorder="1" applyAlignment="1">
      <alignment horizontal="center" vertical="top" wrapText="1"/>
    </xf>
    <xf numFmtId="169" fontId="47" fillId="41" borderId="63" xfId="2" applyNumberFormat="1" applyFont="1" applyFill="1" applyBorder="1" applyAlignment="1">
      <alignment horizontal="center" vertical="top" wrapText="1"/>
    </xf>
    <xf numFmtId="1" fontId="47" fillId="41" borderId="63" xfId="2" applyNumberFormat="1" applyFont="1" applyFill="1" applyBorder="1" applyAlignment="1">
      <alignment horizontal="center" vertical="top" wrapText="1"/>
    </xf>
    <xf numFmtId="1" fontId="47" fillId="41" borderId="64" xfId="2" applyNumberFormat="1" applyFont="1" applyFill="1" applyBorder="1" applyAlignment="1">
      <alignment horizontal="center" vertical="top" wrapText="1"/>
    </xf>
    <xf numFmtId="0" fontId="0" fillId="0" borderId="0" xfId="41" applyFont="1"/>
    <xf numFmtId="0" fontId="2" fillId="0" borderId="0" xfId="41" applyFont="1" applyAlignment="1">
      <alignment horizontal="center" vertical="center"/>
    </xf>
    <xf numFmtId="2" fontId="1" fillId="0" borderId="0" xfId="41" applyNumberFormat="1" applyAlignment="1">
      <alignment horizontal="center" vertical="center"/>
    </xf>
    <xf numFmtId="2" fontId="40" fillId="0" borderId="0" xfId="41" applyNumberFormat="1" applyFont="1" applyAlignment="1">
      <alignment horizontal="center" vertical="center"/>
    </xf>
    <xf numFmtId="0" fontId="9" fillId="0" borderId="0" xfId="0" applyFont="1"/>
    <xf numFmtId="0" fontId="7" fillId="0" borderId="9" xfId="41" applyFont="1" applyBorder="1" applyAlignment="1" applyProtection="1">
      <alignment vertical="center"/>
      <protection locked="0"/>
    </xf>
    <xf numFmtId="0" fontId="7" fillId="0" borderId="9" xfId="41" applyFont="1" applyBorder="1" applyAlignment="1" applyProtection="1">
      <alignment horizontal="left" vertical="center"/>
      <protection locked="0"/>
    </xf>
    <xf numFmtId="0" fontId="0" fillId="37" borderId="0" xfId="0" applyFill="1" applyBorder="1" applyAlignment="1">
      <alignment horizontal="right"/>
    </xf>
    <xf numFmtId="0" fontId="2" fillId="0" borderId="0" xfId="0" applyFont="1" applyBorder="1" applyAlignment="1">
      <alignment horizontal="right" vertical="center"/>
    </xf>
    <xf numFmtId="14" fontId="0" fillId="0" borderId="0" xfId="0" applyNumberFormat="1" applyBorder="1" applyAlignment="1" applyProtection="1">
      <alignment horizontal="center" vertical="center"/>
      <protection locked="0"/>
    </xf>
    <xf numFmtId="14" fontId="2" fillId="0" borderId="0" xfId="0" applyNumberFormat="1" applyFont="1" applyAlignment="1">
      <alignment horizontal="right"/>
    </xf>
    <xf numFmtId="0" fontId="25" fillId="0" borderId="0" xfId="0" applyFont="1"/>
    <xf numFmtId="0" fontId="25" fillId="37" borderId="0" xfId="0" applyFont="1" applyFill="1" applyAlignment="1">
      <alignment horizontal="right"/>
    </xf>
    <xf numFmtId="0" fontId="25" fillId="37" borderId="0" xfId="0" applyFont="1" applyFill="1" applyAlignment="1">
      <alignment horizontal="right" vertical="center"/>
    </xf>
    <xf numFmtId="0" fontId="25" fillId="37" borderId="4" xfId="0" applyFont="1" applyFill="1" applyBorder="1" applyAlignment="1" applyProtection="1">
      <alignment horizontal="center" vertical="center"/>
      <protection locked="0" hidden="1"/>
    </xf>
    <xf numFmtId="0" fontId="25" fillId="34" borderId="29" xfId="0" applyFont="1" applyFill="1" applyBorder="1" applyAlignment="1" applyProtection="1">
      <alignment horizontal="center" vertical="center" shrinkToFit="1"/>
      <protection locked="0" hidden="1"/>
    </xf>
    <xf numFmtId="1" fontId="0" fillId="39" borderId="29" xfId="0" applyNumberFormat="1" applyFill="1" applyBorder="1" applyAlignment="1" applyProtection="1">
      <alignment horizontal="center"/>
      <protection locked="0"/>
    </xf>
    <xf numFmtId="14" fontId="0" fillId="37" borderId="0" xfId="0" applyNumberFormat="1" applyFill="1" applyAlignment="1">
      <alignment horizontal="right" vertical="center"/>
    </xf>
    <xf numFmtId="1" fontId="0" fillId="0" borderId="29" xfId="347" applyNumberFormat="1" applyFont="1" applyBorder="1" applyAlignment="1" applyProtection="1">
      <alignment horizontal="center" vertical="center"/>
      <protection hidden="1"/>
    </xf>
    <xf numFmtId="44" fontId="0" fillId="38" borderId="26" xfId="0" applyNumberFormat="1" applyFill="1" applyBorder="1" applyAlignment="1" applyProtection="1">
      <alignment horizontal="center"/>
      <protection locked="0" hidden="1"/>
    </xf>
    <xf numFmtId="44" fontId="0" fillId="38" borderId="47" xfId="0" applyNumberFormat="1" applyFill="1" applyBorder="1" applyAlignment="1" applyProtection="1">
      <alignment horizontal="center"/>
      <protection locked="0" hidden="1"/>
    </xf>
    <xf numFmtId="1" fontId="0" fillId="38" borderId="26" xfId="0" applyNumberFormat="1" applyFill="1" applyBorder="1" applyAlignment="1" applyProtection="1">
      <alignment horizontal="center"/>
      <protection locked="0" hidden="1"/>
    </xf>
    <xf numFmtId="1" fontId="0" fillId="38" borderId="47" xfId="0" applyNumberFormat="1" applyFill="1" applyBorder="1" applyAlignment="1" applyProtection="1">
      <alignment horizontal="center"/>
      <protection locked="0" hidden="1"/>
    </xf>
    <xf numFmtId="14" fontId="0" fillId="38" borderId="26" xfId="0" applyNumberFormat="1" applyFill="1" applyBorder="1" applyAlignment="1" applyProtection="1">
      <alignment horizontal="center" vertical="center"/>
      <protection locked="0" hidden="1"/>
    </xf>
    <xf numFmtId="14" fontId="0" fillId="38" borderId="47" xfId="0" applyNumberFormat="1" applyFill="1" applyBorder="1" applyAlignment="1" applyProtection="1">
      <alignment horizontal="center" vertical="center"/>
      <protection locked="0" hidden="1"/>
    </xf>
    <xf numFmtId="44" fontId="0" fillId="38" borderId="26" xfId="0" applyNumberFormat="1" applyFill="1" applyBorder="1" applyAlignment="1" applyProtection="1">
      <protection locked="0" hidden="1"/>
    </xf>
    <xf numFmtId="44" fontId="0" fillId="38" borderId="47" xfId="0" applyNumberFormat="1" applyFill="1" applyBorder="1" applyAlignment="1" applyProtection="1">
      <protection locked="0" hidden="1"/>
    </xf>
    <xf numFmtId="0" fontId="0" fillId="38" borderId="26" xfId="0" applyNumberFormat="1" applyFill="1" applyBorder="1" applyAlignment="1" applyProtection="1">
      <alignment horizontal="center" vertical="center"/>
      <protection locked="0" hidden="1"/>
    </xf>
    <xf numFmtId="0" fontId="0" fillId="38" borderId="26" xfId="0" applyNumberFormat="1" applyFill="1" applyBorder="1" applyAlignment="1" applyProtection="1">
      <alignment horizontal="center"/>
      <protection locked="0" hidden="1"/>
    </xf>
    <xf numFmtId="0" fontId="0" fillId="37" borderId="45" xfId="0" applyNumberFormat="1" applyFill="1" applyBorder="1" applyAlignment="1" applyProtection="1">
      <alignment horizontal="center" vertical="center"/>
      <protection locked="0" hidden="1"/>
    </xf>
    <xf numFmtId="0" fontId="0" fillId="38" borderId="47" xfId="0" applyNumberFormat="1" applyFill="1" applyBorder="1" applyAlignment="1" applyProtection="1">
      <alignment horizontal="center" vertical="center"/>
      <protection locked="0" hidden="1"/>
    </xf>
    <xf numFmtId="0" fontId="0" fillId="38" borderId="47" xfId="0" applyNumberFormat="1" applyFill="1" applyBorder="1" applyAlignment="1" applyProtection="1">
      <alignment horizontal="center"/>
      <protection locked="0" hidden="1"/>
    </xf>
    <xf numFmtId="0" fontId="0" fillId="37" borderId="48" xfId="0" applyNumberFormat="1" applyFill="1" applyBorder="1" applyAlignment="1" applyProtection="1">
      <alignment horizontal="center" vertical="center"/>
      <protection locked="0" hidden="1"/>
    </xf>
    <xf numFmtId="1" fontId="0" fillId="38" borderId="21" xfId="0" applyNumberFormat="1" applyFill="1" applyBorder="1" applyAlignment="1" applyProtection="1">
      <alignment horizontal="center"/>
      <protection locked="0" hidden="1"/>
    </xf>
    <xf numFmtId="1" fontId="0" fillId="38" borderId="53" xfId="0" applyNumberFormat="1" applyFill="1" applyBorder="1" applyAlignment="1" applyProtection="1">
      <alignment horizontal="center"/>
      <protection locked="0" hidden="1"/>
    </xf>
    <xf numFmtId="0" fontId="0" fillId="0" borderId="0" xfId="0" applyBorder="1"/>
    <xf numFmtId="1" fontId="0" fillId="0" borderId="0" xfId="0" applyNumberFormat="1" applyBorder="1"/>
    <xf numFmtId="180" fontId="0" fillId="0" borderId="0" xfId="0" applyNumberFormat="1" applyBorder="1"/>
    <xf numFmtId="186" fontId="25" fillId="0" borderId="29" xfId="0" applyNumberFormat="1" applyFont="1" applyBorder="1" applyAlignment="1">
      <alignment horizontal="right"/>
    </xf>
    <xf numFmtId="0" fontId="25" fillId="37" borderId="0" xfId="0" applyFont="1" applyFill="1" applyAlignment="1">
      <alignment horizontal="right" vertical="center" shrinkToFit="1"/>
    </xf>
    <xf numFmtId="0" fontId="15" fillId="0" borderId="23" xfId="2" applyBorder="1" applyAlignment="1">
      <alignment horizontal="left" vertical="center"/>
    </xf>
    <xf numFmtId="187" fontId="2" fillId="0" borderId="0" xfId="0" applyNumberFormat="1" applyFont="1" applyAlignment="1">
      <alignment horizontal="center" vertical="center" wrapText="1"/>
    </xf>
    <xf numFmtId="187" fontId="0" fillId="0" borderId="0" xfId="0" applyNumberFormat="1" applyAlignment="1">
      <alignment horizontal="center"/>
    </xf>
    <xf numFmtId="187" fontId="0" fillId="0" borderId="0" xfId="0" applyNumberFormat="1" applyAlignment="1">
      <alignment horizontal="center" vertical="center"/>
    </xf>
    <xf numFmtId="14" fontId="25" fillId="34" borderId="29" xfId="0" applyNumberFormat="1" applyFont="1" applyFill="1" applyBorder="1" applyProtection="1">
      <protection locked="0"/>
    </xf>
    <xf numFmtId="0" fontId="25" fillId="34" borderId="29" xfId="0" applyFont="1" applyFill="1" applyBorder="1" applyAlignment="1" applyProtection="1">
      <alignment horizontal="center" vertical="center"/>
      <protection locked="0"/>
    </xf>
    <xf numFmtId="0" fontId="25" fillId="34" borderId="2" xfId="0" applyFont="1" applyFill="1" applyBorder="1" applyAlignment="1" applyProtection="1">
      <alignment horizontal="center"/>
      <protection locked="0"/>
    </xf>
    <xf numFmtId="0" fontId="25" fillId="34" borderId="29" xfId="0" applyFont="1" applyFill="1" applyBorder="1" applyAlignment="1" applyProtection="1">
      <alignment horizontal="center"/>
      <protection locked="0"/>
    </xf>
    <xf numFmtId="178" fontId="0" fillId="34" borderId="29" xfId="0" applyNumberFormat="1" applyFill="1" applyBorder="1" applyAlignment="1" applyProtection="1">
      <alignment horizontal="center" vertical="center"/>
      <protection locked="0"/>
    </xf>
    <xf numFmtId="0" fontId="0" fillId="34" borderId="29" xfId="0" applyFill="1" applyBorder="1" applyAlignment="1" applyProtection="1">
      <alignment horizontal="center" vertical="center"/>
      <protection locked="0"/>
    </xf>
    <xf numFmtId="1" fontId="1" fillId="37" borderId="67" xfId="0" applyNumberFormat="1" applyFont="1" applyFill="1" applyBorder="1" applyAlignment="1" applyProtection="1">
      <alignment horizontal="center" vertical="center"/>
      <protection locked="0" hidden="1"/>
    </xf>
    <xf numFmtId="1" fontId="1" fillId="37" borderId="26" xfId="0" applyNumberFormat="1" applyFont="1" applyFill="1" applyBorder="1" applyAlignment="1" applyProtection="1">
      <alignment horizontal="center" vertical="center"/>
      <protection locked="0" hidden="1"/>
    </xf>
    <xf numFmtId="178" fontId="1" fillId="37" borderId="47" xfId="0" applyNumberFormat="1" applyFont="1" applyFill="1" applyBorder="1" applyAlignment="1" applyProtection="1">
      <alignment horizontal="right"/>
      <protection locked="0" hidden="1"/>
    </xf>
    <xf numFmtId="0" fontId="45" fillId="0" borderId="0" xfId="0" applyFont="1" applyBorder="1"/>
    <xf numFmtId="0" fontId="44" fillId="0" borderId="0" xfId="0" applyFont="1" applyBorder="1" applyAlignment="1">
      <alignment horizontal="right"/>
    </xf>
    <xf numFmtId="0" fontId="45" fillId="0" borderId="0" xfId="0" applyFont="1" applyBorder="1" applyAlignment="1">
      <alignment horizontal="center"/>
    </xf>
    <xf numFmtId="0" fontId="15" fillId="0" borderId="0" xfId="2" applyFont="1"/>
    <xf numFmtId="1" fontId="15" fillId="0" borderId="0" xfId="2" applyNumberFormat="1" applyFont="1" applyAlignment="1">
      <alignment horizontal="center" vertical="center"/>
    </xf>
    <xf numFmtId="0" fontId="15" fillId="0" borderId="0" xfId="2" applyFont="1" applyAlignment="1">
      <alignment horizontal="center"/>
    </xf>
    <xf numFmtId="0" fontId="15" fillId="0" borderId="0" xfId="2" applyFont="1" applyBorder="1"/>
    <xf numFmtId="1" fontId="15" fillId="0" borderId="0" xfId="2" applyNumberFormat="1" applyFont="1" applyBorder="1" applyAlignment="1">
      <alignment horizontal="center" vertical="center"/>
    </xf>
    <xf numFmtId="0" fontId="15" fillId="0" borderId="0" xfId="2" applyFont="1" applyBorder="1" applyAlignment="1">
      <alignment horizontal="center"/>
    </xf>
    <xf numFmtId="0" fontId="2" fillId="0" borderId="0" xfId="0" applyFont="1" applyAlignment="1">
      <alignment horizontal="center"/>
    </xf>
    <xf numFmtId="14" fontId="48" fillId="0" borderId="0" xfId="0" applyNumberFormat="1" applyFont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170" fontId="0" fillId="0" borderId="0" xfId="0" applyNumberFormat="1" applyAlignment="1">
      <alignment horizontal="left" shrinkToFit="1"/>
    </xf>
    <xf numFmtId="0" fontId="50" fillId="0" borderId="0" xfId="0" applyFont="1" applyAlignment="1">
      <alignment horizontal="center" shrinkToFit="1"/>
    </xf>
    <xf numFmtId="14" fontId="0" fillId="0" borderId="0" xfId="0" applyNumberFormat="1" applyAlignment="1">
      <alignment horizontal="left"/>
    </xf>
    <xf numFmtId="44" fontId="0" fillId="0" borderId="0" xfId="0" applyNumberFormat="1" applyAlignment="1">
      <alignment horizontal="right"/>
    </xf>
    <xf numFmtId="44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44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21" fontId="0" fillId="0" borderId="0" xfId="0" applyNumberFormat="1"/>
    <xf numFmtId="0" fontId="53" fillId="0" borderId="0" xfId="0" applyFont="1" applyAlignment="1">
      <alignment horizontal="center" shrinkToFit="1"/>
    </xf>
    <xf numFmtId="0" fontId="54" fillId="0" borderId="0" xfId="0" applyFont="1" applyAlignment="1">
      <alignment vertical="center"/>
    </xf>
    <xf numFmtId="0" fontId="54" fillId="0" borderId="0" xfId="0" applyFont="1" applyAlignment="1">
      <alignment horizontal="left" vertical="center"/>
    </xf>
    <xf numFmtId="1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left" vertical="center"/>
    </xf>
    <xf numFmtId="170" fontId="0" fillId="0" borderId="0" xfId="0" applyNumberFormat="1" applyBorder="1" applyAlignment="1">
      <alignment horizontal="right" vertical="center"/>
    </xf>
    <xf numFmtId="1" fontId="0" fillId="0" borderId="0" xfId="0" applyNumberFormat="1" applyBorder="1" applyAlignment="1">
      <alignment horizontal="right" vertical="center"/>
    </xf>
    <xf numFmtId="170" fontId="0" fillId="0" borderId="0" xfId="0" applyNumberForma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NumberFormat="1"/>
    <xf numFmtId="0" fontId="0" fillId="0" borderId="26" xfId="0" applyBorder="1"/>
    <xf numFmtId="14" fontId="0" fillId="0" borderId="29" xfId="0" applyNumberFormat="1" applyBorder="1" applyAlignment="1" applyProtection="1">
      <alignment horizontal="center"/>
    </xf>
    <xf numFmtId="0" fontId="0" fillId="0" borderId="34" xfId="0" applyBorder="1" applyAlignment="1">
      <alignment horizontal="center"/>
    </xf>
    <xf numFmtId="0" fontId="38" fillId="37" borderId="53" xfId="0" applyFont="1" applyFill="1" applyBorder="1" applyAlignment="1">
      <alignment horizontal="center"/>
    </xf>
    <xf numFmtId="0" fontId="38" fillId="37" borderId="47" xfId="0" applyFont="1" applyFill="1" applyBorder="1" applyAlignment="1">
      <alignment horizontal="center"/>
    </xf>
    <xf numFmtId="0" fontId="38" fillId="37" borderId="48" xfId="0" applyFont="1" applyFill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5" fillId="0" borderId="0" xfId="2" applyFont="1"/>
    <xf numFmtId="1" fontId="55" fillId="0" borderId="0" xfId="6" applyNumberFormat="1" applyFont="1" applyAlignment="1">
      <alignment horizontal="center" vertical="center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54" fillId="0" borderId="0" xfId="0" applyFont="1" applyBorder="1" applyAlignment="1">
      <alignment vertical="center"/>
    </xf>
    <xf numFmtId="0" fontId="54" fillId="0" borderId="0" xfId="0" applyFont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18" fillId="0" borderId="22" xfId="2" applyFont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29" xfId="0" applyFill="1" applyBorder="1"/>
    <xf numFmtId="0" fontId="15" fillId="0" borderId="20" xfId="2" applyFill="1" applyBorder="1" applyAlignment="1">
      <alignment vertical="center"/>
    </xf>
    <xf numFmtId="0" fontId="15" fillId="0" borderId="0" xfId="2" applyFill="1" applyAlignment="1">
      <alignment vertical="center"/>
    </xf>
    <xf numFmtId="0" fontId="15" fillId="0" borderId="0" xfId="2" applyFill="1" applyAlignment="1">
      <alignment horizontal="right" vertical="center"/>
    </xf>
    <xf numFmtId="0" fontId="15" fillId="0" borderId="0" xfId="2" applyFill="1" applyAlignment="1">
      <alignment horizontal="left" vertical="center"/>
    </xf>
    <xf numFmtId="0" fontId="15" fillId="0" borderId="21" xfId="2" applyFill="1" applyBorder="1" applyAlignment="1">
      <alignment vertical="center"/>
    </xf>
    <xf numFmtId="0" fontId="16" fillId="0" borderId="14" xfId="2" applyFont="1" applyFill="1" applyBorder="1" applyAlignment="1">
      <alignment horizontal="left" vertical="center" indent="1"/>
    </xf>
    <xf numFmtId="0" fontId="16" fillId="0" borderId="0" xfId="2" applyFont="1" applyFill="1" applyAlignment="1">
      <alignment vertical="center"/>
    </xf>
    <xf numFmtId="0" fontId="15" fillId="0" borderId="14" xfId="2" applyFill="1" applyBorder="1" applyAlignment="1">
      <alignment horizontal="left" vertical="center" indent="1"/>
    </xf>
    <xf numFmtId="0" fontId="15" fillId="0" borderId="23" xfId="2" applyFill="1" applyBorder="1" applyAlignment="1">
      <alignment vertical="center"/>
    </xf>
    <xf numFmtId="0" fontId="15" fillId="0" borderId="23" xfId="2" applyFill="1" applyBorder="1" applyAlignment="1">
      <alignment horizontal="right" vertical="center"/>
    </xf>
    <xf numFmtId="0" fontId="15" fillId="0" borderId="23" xfId="2" applyFill="1" applyBorder="1" applyAlignment="1">
      <alignment horizontal="left" vertical="center"/>
    </xf>
    <xf numFmtId="0" fontId="15" fillId="0" borderId="24" xfId="2" applyFill="1" applyBorder="1" applyAlignment="1">
      <alignment vertical="center"/>
    </xf>
    <xf numFmtId="0" fontId="15" fillId="0" borderId="22" xfId="2" applyFill="1" applyBorder="1" applyAlignment="1">
      <alignment horizontal="left" vertical="center" indent="1"/>
    </xf>
    <xf numFmtId="0" fontId="23" fillId="0" borderId="19" xfId="40" applyFont="1" applyFill="1" applyBorder="1" applyAlignment="1">
      <alignment horizontal="left" vertical="top"/>
    </xf>
    <xf numFmtId="0" fontId="23" fillId="0" borderId="20" xfId="2" applyFont="1" applyFill="1" applyBorder="1" applyAlignment="1">
      <alignment vertical="top"/>
    </xf>
    <xf numFmtId="0" fontId="23" fillId="0" borderId="55" xfId="2" applyFont="1" applyFill="1" applyBorder="1" applyAlignment="1">
      <alignment horizontal="center" vertical="center" wrapText="1"/>
    </xf>
    <xf numFmtId="0" fontId="23" fillId="0" borderId="54" xfId="2" applyFont="1" applyFill="1" applyBorder="1" applyAlignment="1">
      <alignment horizontal="center" vertical="center"/>
    </xf>
    <xf numFmtId="0" fontId="23" fillId="0" borderId="54" xfId="2" applyFont="1" applyFill="1" applyBorder="1" applyAlignment="1">
      <alignment horizontal="center" vertical="center" wrapText="1"/>
    </xf>
    <xf numFmtId="0" fontId="25" fillId="0" borderId="14" xfId="2" applyFont="1" applyFill="1" applyBorder="1" applyAlignment="1">
      <alignment horizontal="left" vertical="center"/>
    </xf>
    <xf numFmtId="0" fontId="38" fillId="0" borderId="14" xfId="2" applyFont="1" applyFill="1" applyBorder="1" applyAlignment="1">
      <alignment horizontal="left" vertical="center"/>
    </xf>
    <xf numFmtId="0" fontId="38" fillId="0" borderId="0" xfId="2" applyFont="1" applyFill="1" applyAlignment="1">
      <alignment vertical="center"/>
    </xf>
    <xf numFmtId="0" fontId="38" fillId="0" borderId="0" xfId="2" applyFont="1" applyFill="1" applyAlignment="1">
      <alignment horizontal="right" vertical="center"/>
    </xf>
    <xf numFmtId="0" fontId="38" fillId="0" borderId="21" xfId="2" applyFont="1" applyFill="1" applyBorder="1" applyAlignment="1">
      <alignment vertical="center"/>
    </xf>
    <xf numFmtId="0" fontId="38" fillId="0" borderId="26" xfId="2" applyFont="1" applyFill="1" applyBorder="1" applyAlignment="1">
      <alignment horizontal="center" vertical="center"/>
    </xf>
    <xf numFmtId="1" fontId="38" fillId="0" borderId="26" xfId="2" applyNumberFormat="1" applyFont="1" applyFill="1" applyBorder="1" applyAlignment="1">
      <alignment horizontal="center" vertical="center"/>
    </xf>
    <xf numFmtId="0" fontId="25" fillId="0" borderId="26" xfId="2" applyFont="1" applyFill="1" applyBorder="1" applyAlignment="1">
      <alignment vertical="center"/>
    </xf>
    <xf numFmtId="0" fontId="25" fillId="0" borderId="14" xfId="2" applyFont="1" applyFill="1" applyBorder="1" applyAlignment="1">
      <alignment horizontal="center" vertical="center"/>
    </xf>
    <xf numFmtId="0" fontId="25" fillId="0" borderId="0" xfId="2" applyFont="1" applyFill="1" applyAlignment="1">
      <alignment horizontal="center" vertical="center"/>
    </xf>
    <xf numFmtId="171" fontId="25" fillId="0" borderId="0" xfId="2" applyNumberFormat="1" applyFont="1" applyFill="1" applyAlignment="1">
      <alignment horizontal="center" vertical="center"/>
    </xf>
    <xf numFmtId="0" fontId="25" fillId="0" borderId="21" xfId="2" applyFont="1" applyFill="1" applyBorder="1" applyAlignment="1">
      <alignment vertical="center"/>
    </xf>
    <xf numFmtId="4" fontId="25" fillId="0" borderId="26" xfId="2" applyNumberFormat="1" applyFont="1" applyFill="1" applyBorder="1" applyAlignment="1">
      <alignment horizontal="center" vertical="center"/>
    </xf>
    <xf numFmtId="3" fontId="25" fillId="0" borderId="26" xfId="2" applyNumberFormat="1" applyFont="1" applyFill="1" applyBorder="1" applyAlignment="1">
      <alignment horizontal="center" vertical="center"/>
    </xf>
    <xf numFmtId="1" fontId="25" fillId="0" borderId="26" xfId="5" applyNumberFormat="1" applyFont="1" applyFill="1" applyBorder="1" applyAlignment="1" applyProtection="1">
      <alignment horizontal="center" vertical="center"/>
    </xf>
    <xf numFmtId="0" fontId="25" fillId="0" borderId="26" xfId="2" applyFont="1" applyFill="1" applyBorder="1" applyAlignment="1">
      <alignment horizontal="center" vertical="center"/>
    </xf>
    <xf numFmtId="0" fontId="23" fillId="0" borderId="18" xfId="40" applyFont="1" applyFill="1" applyBorder="1" applyAlignment="1">
      <alignment vertical="top"/>
    </xf>
    <xf numFmtId="0" fontId="23" fillId="0" borderId="19" xfId="40" applyFont="1" applyFill="1" applyBorder="1" applyAlignment="1">
      <alignment vertical="top"/>
    </xf>
    <xf numFmtId="0" fontId="23" fillId="0" borderId="19" xfId="40" applyFont="1" applyFill="1" applyBorder="1" applyAlignment="1">
      <alignment horizontal="right" vertical="top"/>
    </xf>
    <xf numFmtId="0" fontId="15" fillId="0" borderId="20" xfId="2" applyFill="1" applyBorder="1" applyAlignment="1">
      <alignment horizontal="left" vertical="center"/>
    </xf>
    <xf numFmtId="0" fontId="23" fillId="0" borderId="20" xfId="40" applyFont="1" applyFill="1" applyBorder="1" applyAlignment="1">
      <alignment vertical="top"/>
    </xf>
    <xf numFmtId="0" fontId="15" fillId="0" borderId="22" xfId="40" applyFont="1" applyFill="1" applyBorder="1" applyAlignment="1">
      <alignment vertical="center"/>
    </xf>
    <xf numFmtId="0" fontId="15" fillId="0" borderId="23" xfId="40" applyFont="1" applyFill="1" applyBorder="1" applyAlignment="1">
      <alignment vertical="center"/>
    </xf>
    <xf numFmtId="0" fontId="15" fillId="0" borderId="23" xfId="40" applyFont="1" applyFill="1" applyBorder="1" applyAlignment="1">
      <alignment horizontal="right" vertical="center"/>
    </xf>
    <xf numFmtId="0" fontId="15" fillId="0" borderId="24" xfId="2" applyFont="1" applyFill="1" applyBorder="1" applyAlignment="1">
      <alignment vertical="center"/>
    </xf>
    <xf numFmtId="0" fontId="15" fillId="0" borderId="0" xfId="2" applyFont="1" applyFill="1" applyAlignment="1">
      <alignment vertical="center"/>
    </xf>
    <xf numFmtId="0" fontId="23" fillId="0" borderId="14" xfId="40" applyFont="1" applyFill="1" applyBorder="1" applyAlignment="1">
      <alignment vertical="top"/>
    </xf>
    <xf numFmtId="0" fontId="23" fillId="0" borderId="21" xfId="40" applyFont="1" applyFill="1" applyBorder="1" applyAlignment="1">
      <alignment vertical="top"/>
    </xf>
    <xf numFmtId="0" fontId="23" fillId="0" borderId="14" xfId="40" applyFont="1" applyFill="1" applyBorder="1" applyAlignment="1">
      <alignment horizontal="left" vertical="top"/>
    </xf>
    <xf numFmtId="0" fontId="23" fillId="0" borderId="21" xfId="40" applyFont="1" applyFill="1" applyBorder="1" applyAlignment="1">
      <alignment horizontal="right" vertical="top"/>
    </xf>
    <xf numFmtId="0" fontId="23" fillId="0" borderId="18" xfId="40" applyFont="1" applyFill="1" applyBorder="1" applyAlignment="1">
      <alignment horizontal="left" vertical="top"/>
    </xf>
    <xf numFmtId="0" fontId="23" fillId="0" borderId="20" xfId="2" applyFont="1" applyFill="1" applyBorder="1" applyAlignment="1">
      <alignment vertical="center"/>
    </xf>
    <xf numFmtId="0" fontId="23" fillId="0" borderId="20" xfId="40" applyFont="1" applyFill="1" applyBorder="1" applyAlignment="1">
      <alignment horizontal="left" vertical="top"/>
    </xf>
    <xf numFmtId="0" fontId="23" fillId="0" borderId="0" xfId="2" applyFont="1" applyFill="1" applyAlignment="1">
      <alignment vertical="center"/>
    </xf>
    <xf numFmtId="0" fontId="23" fillId="0" borderId="20" xfId="40" applyFont="1" applyFill="1" applyBorder="1" applyAlignment="1">
      <alignment horizontal="right" vertical="top"/>
    </xf>
    <xf numFmtId="0" fontId="15" fillId="0" borderId="14" xfId="40" applyFont="1" applyFill="1" applyBorder="1" applyAlignment="1">
      <alignment horizontal="left" vertical="center"/>
    </xf>
    <xf numFmtId="0" fontId="15" fillId="0" borderId="0" xfId="40" applyFont="1" applyFill="1" applyAlignment="1">
      <alignment vertical="center"/>
    </xf>
    <xf numFmtId="0" fontId="15" fillId="0" borderId="21" xfId="40" applyFont="1" applyFill="1" applyBorder="1" applyAlignment="1">
      <alignment vertical="center"/>
    </xf>
    <xf numFmtId="0" fontId="15" fillId="0" borderId="19" xfId="40" applyFill="1" applyBorder="1" applyAlignment="1">
      <alignment vertical="center"/>
    </xf>
    <xf numFmtId="0" fontId="9" fillId="0" borderId="14" xfId="40" applyFont="1" applyFill="1" applyBorder="1" applyAlignment="1">
      <alignment horizontal="left" vertical="center"/>
    </xf>
    <xf numFmtId="0" fontId="9" fillId="0" borderId="0" xfId="40" applyFont="1" applyFill="1" applyAlignment="1">
      <alignment vertical="center"/>
    </xf>
    <xf numFmtId="0" fontId="9" fillId="0" borderId="0" xfId="40" applyFont="1" applyFill="1" applyAlignment="1">
      <alignment horizontal="center" vertical="center"/>
    </xf>
    <xf numFmtId="0" fontId="9" fillId="0" borderId="21" xfId="40" applyFont="1" applyFill="1" applyBorder="1" applyAlignment="1">
      <alignment horizontal="left" vertical="center"/>
    </xf>
    <xf numFmtId="0" fontId="15" fillId="0" borderId="14" xfId="40" applyFont="1" applyFill="1" applyBorder="1" applyAlignment="1">
      <alignment vertical="center"/>
    </xf>
    <xf numFmtId="0" fontId="15" fillId="0" borderId="0" xfId="40" applyFont="1" applyFill="1" applyAlignment="1">
      <alignment horizontal="left" vertical="center"/>
    </xf>
    <xf numFmtId="0" fontId="15" fillId="0" borderId="21" xfId="2" applyFont="1" applyFill="1" applyBorder="1" applyAlignment="1">
      <alignment vertical="center"/>
    </xf>
    <xf numFmtId="0" fontId="15" fillId="0" borderId="0" xfId="40" applyFont="1" applyFill="1" applyAlignment="1">
      <alignment horizontal="right" vertical="center"/>
    </xf>
    <xf numFmtId="0" fontId="9" fillId="0" borderId="22" xfId="40" applyFont="1" applyFill="1" applyBorder="1" applyAlignment="1">
      <alignment horizontal="left" vertical="center"/>
    </xf>
    <xf numFmtId="0" fontId="9" fillId="0" borderId="23" xfId="40" applyFont="1" applyFill="1" applyBorder="1" applyAlignment="1">
      <alignment vertical="center"/>
    </xf>
    <xf numFmtId="0" fontId="9" fillId="0" borderId="24" xfId="40" applyFont="1" applyFill="1" applyBorder="1" applyAlignment="1">
      <alignment horizontal="left" vertical="center"/>
    </xf>
    <xf numFmtId="19" fontId="0" fillId="0" borderId="0" xfId="0" applyNumberFormat="1" applyAlignment="1">
      <alignment horizontal="center"/>
    </xf>
    <xf numFmtId="14" fontId="0" fillId="0" borderId="0" xfId="0" applyNumberFormat="1" applyBorder="1" applyAlignment="1">
      <alignment horizontal="center"/>
    </xf>
    <xf numFmtId="187" fontId="0" fillId="0" borderId="0" xfId="0" applyNumberFormat="1" applyBorder="1" applyAlignment="1">
      <alignment horizontal="center"/>
    </xf>
    <xf numFmtId="170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70" fontId="0" fillId="0" borderId="0" xfId="0" applyNumberFormat="1" applyBorder="1" applyAlignment="1">
      <alignment horizontal="left" shrinkToFit="1"/>
    </xf>
    <xf numFmtId="0" fontId="0" fillId="0" borderId="0" xfId="0" applyFont="1"/>
    <xf numFmtId="0" fontId="56" fillId="0" borderId="0" xfId="0" applyFont="1" applyBorder="1" applyAlignment="1">
      <alignment horizontal="center" shrinkToFit="1"/>
    </xf>
    <xf numFmtId="0" fontId="38" fillId="0" borderId="18" xfId="2" applyFont="1" applyBorder="1" applyAlignment="1">
      <alignment vertical="center"/>
    </xf>
    <xf numFmtId="0" fontId="38" fillId="0" borderId="14" xfId="2" applyFont="1" applyBorder="1" applyAlignment="1">
      <alignment vertical="center"/>
    </xf>
    <xf numFmtId="3" fontId="1" fillId="39" borderId="21" xfId="0" applyNumberFormat="1" applyFont="1" applyFill="1" applyBorder="1" applyAlignment="1" applyProtection="1">
      <alignment horizontal="center"/>
      <protection locked="0" hidden="1"/>
    </xf>
    <xf numFmtId="1" fontId="1" fillId="39" borderId="44" xfId="0" applyNumberFormat="1" applyFont="1" applyFill="1" applyBorder="1" applyAlignment="1" applyProtection="1">
      <alignment horizontal="center"/>
      <protection locked="0" hidden="1"/>
    </xf>
    <xf numFmtId="0" fontId="50" fillId="0" borderId="0" xfId="0" applyFont="1" applyBorder="1" applyAlignment="1">
      <alignment horizontal="center" shrinkToFit="1"/>
    </xf>
    <xf numFmtId="19" fontId="0" fillId="0" borderId="0" xfId="0" applyNumberFormat="1" applyBorder="1" applyAlignment="1">
      <alignment horizontal="center"/>
    </xf>
    <xf numFmtId="0" fontId="57" fillId="0" borderId="0" xfId="0" applyFont="1" applyBorder="1" applyAlignment="1">
      <alignment horizontal="center" shrinkToFit="1"/>
    </xf>
    <xf numFmtId="0" fontId="45" fillId="0" borderId="0" xfId="0" applyNumberFormat="1" applyFont="1" applyBorder="1"/>
    <xf numFmtId="44" fontId="0" fillId="0" borderId="0" xfId="351" applyFont="1"/>
    <xf numFmtId="0" fontId="15" fillId="0" borderId="0" xfId="2" applyNumberFormat="1" applyFont="1"/>
    <xf numFmtId="0" fontId="0" fillId="37" borderId="0" xfId="0" applyFill="1" applyBorder="1" applyAlignment="1">
      <alignment horizontal="center" vertical="center"/>
    </xf>
    <xf numFmtId="170" fontId="0" fillId="37" borderId="0" xfId="0" applyNumberFormat="1" applyFill="1" applyBorder="1" applyAlignment="1" applyProtection="1">
      <alignment horizontal="center" vertical="center"/>
      <protection locked="0"/>
    </xf>
    <xf numFmtId="0" fontId="58" fillId="0" borderId="0" xfId="0" applyFont="1" applyAlignment="1">
      <alignment horizontal="center" vertical="center" wrapText="1"/>
    </xf>
    <xf numFmtId="0" fontId="0" fillId="0" borderId="45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178" fontId="1" fillId="37" borderId="45" xfId="0" applyNumberFormat="1" applyFont="1" applyFill="1" applyBorder="1" applyAlignment="1" applyProtection="1">
      <alignment horizontal="right" vertical="center"/>
      <protection locked="0" hidden="1"/>
    </xf>
    <xf numFmtId="178" fontId="1" fillId="37" borderId="48" xfId="0" applyNumberFormat="1" applyFont="1" applyFill="1" applyBorder="1" applyAlignment="1" applyProtection="1">
      <alignment horizontal="right" vertical="center"/>
      <protection locked="0" hidden="1"/>
    </xf>
    <xf numFmtId="0" fontId="15" fillId="0" borderId="0" xfId="2" applyAlignment="1">
      <alignment horizontal="center" vertical="center"/>
    </xf>
    <xf numFmtId="0" fontId="55" fillId="0" borderId="0" xfId="2" applyFont="1" applyAlignment="1">
      <alignment horizontal="center"/>
    </xf>
    <xf numFmtId="0" fontId="16" fillId="0" borderId="0" xfId="2" applyFont="1" applyAlignment="1">
      <alignment horizontal="center" vertical="center" wrapText="1"/>
    </xf>
    <xf numFmtId="0" fontId="55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15" fillId="0" borderId="0" xfId="2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15" fillId="0" borderId="0" xfId="2" applyAlignment="1">
      <alignment horizontal="center" vertical="center"/>
    </xf>
    <xf numFmtId="0" fontId="59" fillId="0" borderId="0" xfId="2" applyFont="1" applyAlignment="1">
      <alignment horizontal="center" vertical="center"/>
    </xf>
    <xf numFmtId="2" fontId="59" fillId="0" borderId="0" xfId="2" applyNumberFormat="1" applyFont="1" applyAlignment="1">
      <alignment horizontal="center" vertical="center"/>
    </xf>
    <xf numFmtId="2" fontId="15" fillId="0" borderId="0" xfId="2" applyNumberFormat="1" applyAlignment="1">
      <alignment horizontal="center" vertical="center"/>
    </xf>
    <xf numFmtId="179" fontId="0" fillId="37" borderId="0" xfId="0" applyNumberFormat="1" applyFill="1" applyBorder="1" applyAlignment="1" applyProtection="1">
      <alignment horizontal="left" vertical="center"/>
      <protection locked="0"/>
    </xf>
    <xf numFmtId="2" fontId="2" fillId="19" borderId="29" xfId="0" applyNumberFormat="1" applyFont="1" applyFill="1" applyBorder="1" applyAlignment="1" applyProtection="1">
      <alignment horizontal="center" vertical="center"/>
      <protection locked="0"/>
    </xf>
    <xf numFmtId="44" fontId="23" fillId="0" borderId="25" xfId="351" applyFont="1" applyBorder="1" applyAlignment="1">
      <alignment horizontal="center" vertical="center" wrapText="1"/>
    </xf>
    <xf numFmtId="44" fontId="0" fillId="0" borderId="26" xfId="351" applyFont="1" applyBorder="1" applyAlignment="1">
      <alignment horizontal="center"/>
    </xf>
    <xf numFmtId="44" fontId="23" fillId="0" borderId="26" xfId="351" applyFont="1" applyBorder="1" applyAlignment="1">
      <alignment horizontal="center" vertical="center" wrapText="1"/>
    </xf>
    <xf numFmtId="171" fontId="15" fillId="0" borderId="0" xfId="2" applyNumberFormat="1" applyFill="1" applyAlignment="1">
      <alignment vertical="center"/>
    </xf>
    <xf numFmtId="0" fontId="61" fillId="0" borderId="0" xfId="0" applyFont="1" applyBorder="1" applyAlignment="1">
      <alignment horizontal="center" shrinkToFit="1"/>
    </xf>
    <xf numFmtId="171" fontId="38" fillId="0" borderId="26" xfId="2" applyNumberFormat="1" applyFont="1" applyFill="1" applyBorder="1" applyAlignment="1">
      <alignment horizontal="center" vertical="center"/>
    </xf>
    <xf numFmtId="171" fontId="25" fillId="0" borderId="26" xfId="2" applyNumberFormat="1" applyFont="1" applyFill="1" applyBorder="1" applyAlignment="1">
      <alignment horizontal="left" vertical="center"/>
    </xf>
    <xf numFmtId="171" fontId="25" fillId="0" borderId="14" xfId="3" applyNumberFormat="1" applyFont="1" applyFill="1" applyBorder="1" applyAlignment="1" applyProtection="1">
      <alignment horizontal="center" vertical="center"/>
    </xf>
    <xf numFmtId="171" fontId="25" fillId="0" borderId="26" xfId="2" applyNumberFormat="1" applyFont="1" applyFill="1" applyBorder="1" applyAlignment="1">
      <alignment horizontal="center" vertical="center"/>
    </xf>
    <xf numFmtId="0" fontId="15" fillId="0" borderId="0" xfId="2" applyNumberFormat="1" applyFont="1" applyAlignment="1">
      <alignment horizontal="center"/>
    </xf>
    <xf numFmtId="2" fontId="60" fillId="0" borderId="0" xfId="2" applyNumberFormat="1" applyFont="1" applyAlignment="1">
      <alignment horizontal="center" vertical="top" wrapText="1"/>
    </xf>
    <xf numFmtId="0" fontId="15" fillId="0" borderId="0" xfId="2" applyAlignment="1">
      <alignment horizontal="center" vertical="center"/>
    </xf>
    <xf numFmtId="44" fontId="2" fillId="0" borderId="29" xfId="351" applyFont="1" applyBorder="1" applyAlignment="1" applyProtection="1">
      <alignment horizontal="right" vertical="center"/>
      <protection hidden="1"/>
    </xf>
    <xf numFmtId="44" fontId="2" fillId="0" borderId="29" xfId="351" applyFont="1" applyBorder="1" applyAlignment="1" applyProtection="1">
      <alignment horizontal="center" vertical="center"/>
      <protection hidden="1"/>
    </xf>
    <xf numFmtId="0" fontId="62" fillId="0" borderId="0" xfId="0" applyFont="1" applyBorder="1" applyAlignment="1">
      <alignment horizontal="center" shrinkToFit="1"/>
    </xf>
    <xf numFmtId="0" fontId="0" fillId="34" borderId="29" xfId="0" applyNumberFormat="1" applyFill="1" applyBorder="1" applyAlignment="1" applyProtection="1">
      <alignment horizontal="center"/>
      <protection locked="0"/>
    </xf>
    <xf numFmtId="187" fontId="0" fillId="34" borderId="29" xfId="0" applyNumberFormat="1" applyFill="1" applyBorder="1" applyAlignment="1" applyProtection="1">
      <alignment horizontal="center"/>
      <protection locked="0"/>
    </xf>
    <xf numFmtId="0" fontId="63" fillId="0" borderId="0" xfId="0" applyFont="1" applyBorder="1" applyAlignment="1">
      <alignment horizontal="center" shrinkToFit="1"/>
    </xf>
    <xf numFmtId="49" fontId="16" fillId="0" borderId="0" xfId="2" applyNumberFormat="1" applyFont="1" applyAlignment="1">
      <alignment horizontal="center" vertical="top" wrapText="1"/>
    </xf>
    <xf numFmtId="49" fontId="15" fillId="0" borderId="0" xfId="2" applyNumberFormat="1" applyAlignment="1">
      <alignment horizontal="center"/>
    </xf>
    <xf numFmtId="49" fontId="15" fillId="0" borderId="0" xfId="2" applyNumberFormat="1" applyFont="1" applyAlignment="1">
      <alignment horizontal="center"/>
    </xf>
    <xf numFmtId="49" fontId="15" fillId="0" borderId="0" xfId="2" applyNumberFormat="1" applyFont="1" applyBorder="1" applyAlignment="1">
      <alignment horizontal="center"/>
    </xf>
    <xf numFmtId="0" fontId="0" fillId="37" borderId="32" xfId="0" applyFill="1" applyBorder="1" applyAlignment="1">
      <alignment horizontal="center" vertical="center"/>
    </xf>
    <xf numFmtId="170" fontId="0" fillId="37" borderId="37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 applyProtection="1">
      <alignment horizontal="center" vertical="center"/>
      <protection locked="0"/>
    </xf>
    <xf numFmtId="179" fontId="0" fillId="0" borderId="0" xfId="0" applyNumberFormat="1" applyFill="1" applyBorder="1" applyAlignment="1" applyProtection="1">
      <alignment horizontal="center" vertical="center"/>
      <protection locked="0"/>
    </xf>
    <xf numFmtId="170" fontId="0" fillId="0" borderId="0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Border="1"/>
    <xf numFmtId="170" fontId="0" fillId="37" borderId="32" xfId="0" applyNumberForma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left"/>
    </xf>
    <xf numFmtId="0" fontId="45" fillId="0" borderId="18" xfId="0" applyFont="1" applyBorder="1"/>
    <xf numFmtId="0" fontId="44" fillId="0" borderId="19" xfId="0" applyFont="1" applyBorder="1"/>
    <xf numFmtId="0" fontId="45" fillId="0" borderId="19" xfId="0" applyFont="1" applyBorder="1"/>
    <xf numFmtId="0" fontId="45" fillId="0" borderId="20" xfId="0" applyFont="1" applyBorder="1"/>
    <xf numFmtId="0" fontId="45" fillId="0" borderId="14" xfId="0" applyFont="1" applyBorder="1"/>
    <xf numFmtId="0" fontId="45" fillId="0" borderId="21" xfId="0" applyFont="1" applyBorder="1"/>
    <xf numFmtId="0" fontId="44" fillId="0" borderId="0" xfId="0" applyFont="1" applyBorder="1"/>
    <xf numFmtId="0" fontId="45" fillId="0" borderId="22" xfId="0" applyFont="1" applyBorder="1"/>
    <xf numFmtId="0" fontId="45" fillId="0" borderId="23" xfId="0" applyFont="1" applyBorder="1"/>
    <xf numFmtId="0" fontId="45" fillId="0" borderId="24" xfId="0" applyFont="1" applyBorder="1"/>
    <xf numFmtId="0" fontId="2" fillId="0" borderId="29" xfId="0" applyFont="1" applyBorder="1" applyAlignment="1">
      <alignment vertical="center"/>
    </xf>
    <xf numFmtId="3" fontId="2" fillId="0" borderId="29" xfId="0" applyNumberFormat="1" applyFont="1" applyBorder="1" applyAlignment="1">
      <alignment vertical="center"/>
    </xf>
    <xf numFmtId="1" fontId="2" fillId="35" borderId="29" xfId="344" applyNumberFormat="1" applyFont="1" applyFill="1" applyBorder="1" applyAlignment="1">
      <alignment horizontal="right" vertical="center"/>
    </xf>
    <xf numFmtId="178" fontId="2" fillId="0" borderId="29" xfId="0" applyNumberFormat="1" applyFont="1" applyBorder="1" applyAlignment="1">
      <alignment vertical="center"/>
    </xf>
    <xf numFmtId="178" fontId="2" fillId="0" borderId="29" xfId="0" applyNumberFormat="1" applyFont="1" applyBorder="1"/>
    <xf numFmtId="9" fontId="2" fillId="0" borderId="29" xfId="344" applyFont="1" applyFill="1" applyBorder="1"/>
    <xf numFmtId="186" fontId="2" fillId="0" borderId="29" xfId="0" applyNumberFormat="1" applyFont="1" applyFill="1" applyBorder="1"/>
    <xf numFmtId="0" fontId="2" fillId="0" borderId="29" xfId="0" applyFont="1" applyBorder="1"/>
    <xf numFmtId="181" fontId="2" fillId="0" borderId="29" xfId="0" applyNumberFormat="1" applyFont="1" applyBorder="1"/>
    <xf numFmtId="0" fontId="2" fillId="0" borderId="29" xfId="0" applyFont="1" applyFill="1" applyBorder="1" applyAlignment="1" applyProtection="1">
      <alignment horizontal="center" vertical="center"/>
      <protection locked="0"/>
    </xf>
    <xf numFmtId="179" fontId="2" fillId="0" borderId="29" xfId="0" applyNumberFormat="1" applyFont="1" applyFill="1" applyBorder="1" applyAlignment="1" applyProtection="1">
      <alignment horizontal="center" vertical="center"/>
      <protection locked="0"/>
    </xf>
    <xf numFmtId="0" fontId="2" fillId="19" borderId="29" xfId="0" applyFont="1" applyFill="1" applyBorder="1" applyAlignment="1" applyProtection="1">
      <alignment horizontal="center" vertical="center"/>
      <protection locked="0"/>
    </xf>
    <xf numFmtId="0" fontId="23" fillId="0" borderId="19" xfId="2" applyFont="1" applyBorder="1" applyAlignment="1">
      <alignment vertical="top"/>
    </xf>
    <xf numFmtId="0" fontId="15" fillId="0" borderId="23" xfId="2" applyFill="1" applyBorder="1" applyAlignment="1">
      <alignment horizontal="left" vertical="center"/>
    </xf>
    <xf numFmtId="0" fontId="16" fillId="0" borderId="0" xfId="2" applyFont="1" applyBorder="1" applyAlignment="1">
      <alignment horizontal="left" vertical="center" indent="1"/>
    </xf>
    <xf numFmtId="0" fontId="15" fillId="0" borderId="0" xfId="2" applyBorder="1" applyAlignment="1">
      <alignment horizontal="left" vertical="center" indent="1"/>
    </xf>
    <xf numFmtId="0" fontId="15" fillId="0" borderId="23" xfId="2" applyBorder="1" applyAlignment="1">
      <alignment horizontal="left" vertical="center" indent="1"/>
    </xf>
    <xf numFmtId="0" fontId="15" fillId="0" borderId="18" xfId="2" applyBorder="1" applyAlignment="1">
      <alignment vertical="center"/>
    </xf>
    <xf numFmtId="0" fontId="23" fillId="0" borderId="0" xfId="2" applyFont="1" applyBorder="1" applyAlignment="1">
      <alignment vertical="top"/>
    </xf>
    <xf numFmtId="0" fontId="15" fillId="0" borderId="0" xfId="2" applyBorder="1" applyAlignment="1">
      <alignment vertical="center"/>
    </xf>
    <xf numFmtId="0" fontId="15" fillId="0" borderId="0" xfId="2" applyBorder="1" applyAlignment="1">
      <alignment horizontal="right" vertical="center"/>
    </xf>
    <xf numFmtId="0" fontId="15" fillId="0" borderId="21" xfId="2" applyBorder="1" applyAlignment="1">
      <alignment horizontal="left" vertical="center"/>
    </xf>
    <xf numFmtId="0" fontId="15" fillId="0" borderId="24" xfId="2" applyBorder="1" applyAlignment="1">
      <alignment horizontal="left" vertical="center"/>
    </xf>
    <xf numFmtId="0" fontId="15" fillId="0" borderId="0" xfId="2" applyBorder="1" applyAlignment="1">
      <alignment horizontal="left" vertical="center"/>
    </xf>
    <xf numFmtId="0" fontId="15" fillId="0" borderId="18" xfId="2" applyBorder="1" applyAlignment="1">
      <alignment horizontal="left" vertical="center" indent="1"/>
    </xf>
    <xf numFmtId="0" fontId="15" fillId="0" borderId="0" xfId="2" applyFill="1" applyBorder="1" applyAlignment="1">
      <alignment vertical="center"/>
    </xf>
    <xf numFmtId="0" fontId="15" fillId="0" borderId="0" xfId="2" applyFill="1" applyBorder="1" applyAlignment="1">
      <alignment horizontal="right" vertical="center"/>
    </xf>
    <xf numFmtId="0" fontId="15" fillId="0" borderId="0" xfId="2" applyFill="1" applyBorder="1" applyAlignment="1">
      <alignment horizontal="left" vertical="center"/>
    </xf>
    <xf numFmtId="178" fontId="0" fillId="0" borderId="29" xfId="0" applyNumberFormat="1" applyBorder="1" applyAlignment="1">
      <alignment horizontal="right"/>
    </xf>
    <xf numFmtId="178" fontId="1" fillId="39" borderId="45" xfId="351" applyNumberFormat="1" applyFont="1" applyFill="1" applyBorder="1" applyAlignment="1" applyProtection="1">
      <alignment horizontal="center"/>
      <protection locked="0" hidden="1"/>
    </xf>
    <xf numFmtId="178" fontId="25" fillId="39" borderId="45" xfId="351" applyNumberFormat="1" applyFont="1" applyFill="1" applyBorder="1" applyAlignment="1" applyProtection="1">
      <alignment horizontal="center" vertical="center"/>
      <protection locked="0" hidden="1"/>
    </xf>
    <xf numFmtId="178" fontId="1" fillId="39" borderId="48" xfId="351" applyNumberFormat="1" applyFont="1" applyFill="1" applyBorder="1" applyAlignment="1" applyProtection="1">
      <alignment horizontal="center"/>
      <protection locked="0" hidden="1"/>
    </xf>
    <xf numFmtId="178" fontId="1" fillId="39" borderId="14" xfId="0" applyNumberFormat="1" applyFont="1" applyFill="1" applyBorder="1" applyAlignment="1" applyProtection="1">
      <alignment horizontal="center"/>
      <protection locked="0" hidden="1"/>
    </xf>
    <xf numFmtId="178" fontId="1" fillId="39" borderId="14" xfId="0" applyNumberFormat="1" applyFont="1" applyFill="1" applyBorder="1" applyProtection="1">
      <protection locked="0" hidden="1"/>
    </xf>
    <xf numFmtId="178" fontId="1" fillId="39" borderId="45" xfId="0" applyNumberFormat="1" applyFont="1" applyFill="1" applyBorder="1" applyProtection="1">
      <protection locked="0" hidden="1"/>
    </xf>
    <xf numFmtId="178" fontId="1" fillId="39" borderId="48" xfId="0" applyNumberFormat="1" applyFont="1" applyFill="1" applyBorder="1" applyProtection="1">
      <protection locked="0" hidden="1"/>
    </xf>
    <xf numFmtId="178" fontId="1" fillId="37" borderId="32" xfId="0" applyNumberFormat="1" applyFont="1" applyFill="1" applyBorder="1" applyAlignment="1" applyProtection="1">
      <alignment horizontal="center" vertical="center"/>
      <protection locked="0" hidden="1"/>
    </xf>
    <xf numFmtId="178" fontId="1" fillId="37" borderId="58" xfId="0" applyNumberFormat="1" applyFont="1" applyFill="1" applyBorder="1" applyAlignment="1" applyProtection="1">
      <alignment horizontal="center" vertical="center" shrinkToFit="1"/>
      <protection locked="0" hidden="1"/>
    </xf>
    <xf numFmtId="178" fontId="1" fillId="37" borderId="35" xfId="351" applyNumberFormat="1" applyFont="1" applyFill="1" applyBorder="1" applyAlignment="1" applyProtection="1">
      <alignment horizontal="center"/>
      <protection locked="0" hidden="1"/>
    </xf>
    <xf numFmtId="178" fontId="1" fillId="37" borderId="21" xfId="351" applyNumberFormat="1" applyFont="1" applyFill="1" applyBorder="1" applyAlignment="1" applyProtection="1">
      <alignment horizontal="right"/>
      <protection locked="0" hidden="1"/>
    </xf>
    <xf numFmtId="178" fontId="1" fillId="37" borderId="0" xfId="0" applyNumberFormat="1" applyFont="1" applyFill="1" applyBorder="1" applyAlignment="1" applyProtection="1">
      <alignment horizontal="center" vertical="center"/>
      <protection locked="0" hidden="1"/>
    </xf>
    <xf numFmtId="178" fontId="1" fillId="37" borderId="45" xfId="0" applyNumberFormat="1" applyFont="1" applyFill="1" applyBorder="1" applyAlignment="1" applyProtection="1">
      <alignment horizontal="center" vertical="center" shrinkToFit="1"/>
      <protection locked="0" hidden="1"/>
    </xf>
    <xf numFmtId="178" fontId="25" fillId="37" borderId="35" xfId="351" applyNumberFormat="1" applyFont="1" applyFill="1" applyBorder="1" applyAlignment="1" applyProtection="1">
      <alignment horizontal="center" vertical="center"/>
      <protection locked="0" hidden="1"/>
    </xf>
    <xf numFmtId="178" fontId="25" fillId="37" borderId="21" xfId="351" applyNumberFormat="1" applyFont="1" applyFill="1" applyBorder="1" applyAlignment="1" applyProtection="1">
      <alignment horizontal="right" vertical="center"/>
      <protection locked="0" hidden="1"/>
    </xf>
    <xf numFmtId="178" fontId="0" fillId="37" borderId="35" xfId="351" applyNumberFormat="1" applyFont="1" applyFill="1" applyBorder="1" applyAlignment="1" applyProtection="1">
      <alignment horizontal="center"/>
      <protection locked="0" hidden="1"/>
    </xf>
    <xf numFmtId="178" fontId="1" fillId="37" borderId="44" xfId="351" applyNumberFormat="1" applyFont="1" applyFill="1" applyBorder="1" applyAlignment="1" applyProtection="1">
      <alignment horizontal="right"/>
      <protection locked="0" hidden="1"/>
    </xf>
    <xf numFmtId="178" fontId="1" fillId="37" borderId="37" xfId="0" applyNumberFormat="1" applyFont="1" applyFill="1" applyBorder="1" applyAlignment="1" applyProtection="1">
      <alignment horizontal="right"/>
      <protection locked="0" hidden="1"/>
    </xf>
    <xf numFmtId="178" fontId="1" fillId="37" borderId="48" xfId="0" applyNumberFormat="1" applyFont="1" applyFill="1" applyBorder="1" applyAlignment="1" applyProtection="1">
      <alignment horizontal="right"/>
      <protection locked="0" hidden="1"/>
    </xf>
    <xf numFmtId="178" fontId="1" fillId="37" borderId="38" xfId="351" applyNumberFormat="1" applyFont="1" applyFill="1" applyBorder="1" applyAlignment="1" applyProtection="1">
      <alignment horizontal="center"/>
      <protection locked="0" hidden="1"/>
    </xf>
    <xf numFmtId="178" fontId="1" fillId="37" borderId="46" xfId="351" applyNumberFormat="1" applyFont="1" applyFill="1" applyBorder="1" applyAlignment="1" applyProtection="1">
      <alignment horizontal="right"/>
      <protection locked="0" hidden="1"/>
    </xf>
    <xf numFmtId="178" fontId="0" fillId="37" borderId="0" xfId="0" applyNumberFormat="1" applyFill="1" applyAlignment="1">
      <alignment horizontal="right"/>
    </xf>
    <xf numFmtId="0" fontId="0" fillId="37" borderId="37" xfId="0" applyFill="1" applyBorder="1" applyAlignment="1">
      <alignment vertical="top"/>
    </xf>
    <xf numFmtId="170" fontId="2" fillId="0" borderId="29" xfId="0" applyNumberFormat="1" applyFont="1" applyBorder="1" applyAlignment="1" applyProtection="1">
      <alignment horizontal="right" vertical="center"/>
      <protection hidden="1"/>
    </xf>
    <xf numFmtId="1" fontId="2" fillId="0" borderId="29" xfId="0" applyNumberFormat="1" applyFont="1" applyBorder="1" applyAlignment="1" applyProtection="1">
      <alignment horizontal="right" vertical="center"/>
      <protection hidden="1"/>
    </xf>
    <xf numFmtId="0" fontId="2" fillId="0" borderId="29" xfId="0" applyFont="1" applyBorder="1" applyAlignment="1" applyProtection="1">
      <alignment horizontal="right" vertical="center"/>
      <protection hidden="1"/>
    </xf>
    <xf numFmtId="14" fontId="2" fillId="0" borderId="29" xfId="0" applyNumberFormat="1" applyFont="1" applyBorder="1" applyAlignment="1" applyProtection="1">
      <alignment horizontal="right" vertical="center"/>
      <protection hidden="1"/>
    </xf>
    <xf numFmtId="179" fontId="2" fillId="0" borderId="29" xfId="0" applyNumberFormat="1" applyFont="1" applyBorder="1" applyAlignment="1" applyProtection="1">
      <alignment horizontal="right" vertical="center"/>
      <protection hidden="1"/>
    </xf>
    <xf numFmtId="43" fontId="15" fillId="0" borderId="0" xfId="347" applyFont="1" applyFill="1" applyAlignment="1">
      <alignment vertical="center"/>
    </xf>
    <xf numFmtId="0" fontId="2" fillId="0" borderId="0" xfId="0" applyFont="1" applyAlignment="1">
      <alignment horizontal="center"/>
    </xf>
    <xf numFmtId="0" fontId="0" fillId="37" borderId="1" xfId="0" applyFill="1" applyBorder="1"/>
    <xf numFmtId="0" fontId="0" fillId="19" borderId="29" xfId="0" applyFill="1" applyBorder="1"/>
    <xf numFmtId="0" fontId="0" fillId="19" borderId="0" xfId="0" applyFill="1"/>
    <xf numFmtId="0" fontId="2" fillId="19" borderId="1" xfId="0" applyFont="1" applyFill="1" applyBorder="1" applyAlignment="1">
      <alignment vertical="top"/>
    </xf>
    <xf numFmtId="0" fontId="2" fillId="19" borderId="15" xfId="0" applyFont="1" applyFill="1" applyBorder="1" applyAlignment="1">
      <alignment vertical="top"/>
    </xf>
    <xf numFmtId="0" fontId="2" fillId="19" borderId="2" xfId="0" applyFont="1" applyFill="1" applyBorder="1" applyAlignment="1">
      <alignment vertical="top"/>
    </xf>
    <xf numFmtId="14" fontId="25" fillId="34" borderId="29" xfId="0" applyNumberFormat="1" applyFont="1" applyFill="1" applyBorder="1" applyAlignment="1" applyProtection="1">
      <alignment horizontal="center"/>
      <protection locked="0"/>
    </xf>
    <xf numFmtId="188" fontId="0" fillId="34" borderId="2" xfId="0" applyNumberFormat="1" applyFill="1" applyBorder="1" applyAlignment="1" applyProtection="1">
      <alignment horizontal="right"/>
      <protection locked="0" hidden="1"/>
    </xf>
    <xf numFmtId="0" fontId="2" fillId="0" borderId="0" xfId="0" applyFont="1" applyBorder="1" applyAlignment="1">
      <alignment vertical="top"/>
    </xf>
    <xf numFmtId="0" fontId="52" fillId="0" borderId="0" xfId="0" applyFont="1" applyBorder="1" applyAlignment="1">
      <alignment horizontal="center" vertical="center"/>
    </xf>
    <xf numFmtId="14" fontId="0" fillId="0" borderId="29" xfId="0" applyNumberFormat="1" applyFont="1" applyBorder="1" applyAlignment="1">
      <alignment horizontal="left" vertical="center"/>
    </xf>
    <xf numFmtId="14" fontId="0" fillId="34" borderId="29" xfId="0" applyNumberFormat="1" applyFill="1" applyBorder="1" applyAlignment="1" applyProtection="1">
      <alignment horizontal="center"/>
      <protection locked="0"/>
    </xf>
    <xf numFmtId="14" fontId="2" fillId="0" borderId="29" xfId="0" applyNumberFormat="1" applyFont="1" applyBorder="1" applyAlignment="1">
      <alignment horizontal="center" vertical="center"/>
    </xf>
    <xf numFmtId="0" fontId="53" fillId="0" borderId="0" xfId="0" applyFont="1" applyAlignment="1">
      <alignment horizontal="center" wrapText="1" shrinkToFit="1"/>
    </xf>
    <xf numFmtId="0" fontId="57" fillId="0" borderId="0" xfId="0" applyFont="1" applyBorder="1" applyAlignment="1">
      <alignment horizontal="center" wrapText="1" shrinkToFit="1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0" fillId="34" borderId="29" xfId="0" applyFill="1" applyBorder="1" applyAlignment="1">
      <alignment horizontal="center" vertical="center"/>
    </xf>
    <xf numFmtId="0" fontId="0" fillId="35" borderId="9" xfId="0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5" borderId="10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/>
    </xf>
    <xf numFmtId="0" fontId="3" fillId="0" borderId="0" xfId="2" applyFont="1" applyAlignment="1">
      <alignment horizontal="center" vertical="center"/>
    </xf>
    <xf numFmtId="0" fontId="15" fillId="0" borderId="0" xfId="2" applyAlignment="1">
      <alignment horizontal="center" vertical="center"/>
    </xf>
    <xf numFmtId="185" fontId="15" fillId="0" borderId="0" xfId="2" applyNumberFormat="1" applyAlignment="1">
      <alignment horizontal="center" vertical="center"/>
    </xf>
    <xf numFmtId="0" fontId="3" fillId="0" borderId="18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185" fontId="3" fillId="0" borderId="19" xfId="2" applyNumberFormat="1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23" xfId="2" applyFont="1" applyBorder="1" applyAlignment="1">
      <alignment horizontal="center" vertical="center"/>
    </xf>
    <xf numFmtId="185" fontId="3" fillId="0" borderId="23" xfId="2" applyNumberFormat="1" applyFont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0" fontId="3" fillId="0" borderId="19" xfId="2" applyFont="1" applyBorder="1" applyAlignment="1">
      <alignment horizontal="left" vertical="center"/>
    </xf>
    <xf numFmtId="185" fontId="3" fillId="0" borderId="19" xfId="2" applyNumberFormat="1" applyFont="1" applyBorder="1" applyAlignment="1">
      <alignment horizontal="left" vertical="center"/>
    </xf>
    <xf numFmtId="0" fontId="3" fillId="0" borderId="20" xfId="2" applyFont="1" applyBorder="1" applyAlignment="1">
      <alignment horizontal="left" vertical="center"/>
    </xf>
    <xf numFmtId="0" fontId="3" fillId="0" borderId="23" xfId="2" applyFont="1" applyBorder="1" applyAlignment="1">
      <alignment horizontal="left" vertical="center"/>
    </xf>
    <xf numFmtId="185" fontId="3" fillId="0" borderId="23" xfId="2" applyNumberFormat="1" applyFont="1" applyBorder="1" applyAlignment="1">
      <alignment horizontal="left" vertical="center"/>
    </xf>
    <xf numFmtId="0" fontId="3" fillId="0" borderId="24" xfId="2" applyFont="1" applyBorder="1" applyAlignment="1">
      <alignment horizontal="left" vertical="center"/>
    </xf>
    <xf numFmtId="185" fontId="3" fillId="0" borderId="0" xfId="2" applyNumberFormat="1" applyFont="1" applyAlignment="1">
      <alignment horizontal="center" vertical="center"/>
    </xf>
    <xf numFmtId="0" fontId="18" fillId="0" borderId="14" xfId="2" applyFont="1" applyBorder="1" applyAlignment="1">
      <alignment horizontal="center" vertical="center" wrapText="1"/>
    </xf>
    <xf numFmtId="0" fontId="18" fillId="0" borderId="21" xfId="2" applyFont="1" applyBorder="1" applyAlignment="1">
      <alignment horizontal="center" vertical="center" wrapText="1"/>
    </xf>
    <xf numFmtId="0" fontId="18" fillId="0" borderId="22" xfId="2" applyFont="1" applyBorder="1" applyAlignment="1">
      <alignment horizontal="center" vertical="center" wrapText="1"/>
    </xf>
    <xf numFmtId="0" fontId="18" fillId="0" borderId="24" xfId="2" applyFont="1" applyBorder="1" applyAlignment="1">
      <alignment horizontal="center" vertical="center" wrapText="1"/>
    </xf>
    <xf numFmtId="49" fontId="18" fillId="0" borderId="26" xfId="2" applyNumberFormat="1" applyFont="1" applyBorder="1" applyAlignment="1">
      <alignment horizontal="center" vertical="center"/>
    </xf>
    <xf numFmtId="49" fontId="18" fillId="0" borderId="27" xfId="2" applyNumberFormat="1" applyFont="1" applyBorder="1" applyAlignment="1">
      <alignment horizontal="center" vertical="center"/>
    </xf>
    <xf numFmtId="44" fontId="18" fillId="0" borderId="14" xfId="351" applyFont="1" applyFill="1" applyBorder="1" applyAlignment="1" applyProtection="1">
      <alignment horizontal="center" vertical="center"/>
    </xf>
    <xf numFmtId="44" fontId="18" fillId="0" borderId="21" xfId="351" applyFont="1" applyFill="1" applyBorder="1" applyAlignment="1" applyProtection="1">
      <alignment horizontal="center" vertical="center"/>
    </xf>
    <xf numFmtId="44" fontId="18" fillId="0" borderId="22" xfId="351" applyFont="1" applyFill="1" applyBorder="1" applyAlignment="1" applyProtection="1">
      <alignment horizontal="center" vertical="center"/>
    </xf>
    <xf numFmtId="44" fontId="18" fillId="0" borderId="24" xfId="351" applyFont="1" applyFill="1" applyBorder="1" applyAlignment="1" applyProtection="1">
      <alignment horizontal="center" vertical="center"/>
    </xf>
    <xf numFmtId="189" fontId="15" fillId="0" borderId="14" xfId="344" applyNumberFormat="1" applyFont="1" applyFill="1" applyBorder="1" applyAlignment="1">
      <alignment horizontal="center" vertical="center"/>
    </xf>
    <xf numFmtId="189" fontId="15" fillId="0" borderId="21" xfId="344" applyNumberFormat="1" applyFont="1" applyFill="1" applyBorder="1" applyAlignment="1">
      <alignment horizontal="center" vertical="center"/>
    </xf>
    <xf numFmtId="189" fontId="15" fillId="0" borderId="22" xfId="344" applyNumberFormat="1" applyFont="1" applyFill="1" applyBorder="1" applyAlignment="1">
      <alignment horizontal="center" vertical="center"/>
    </xf>
    <xf numFmtId="189" fontId="15" fillId="0" borderId="24" xfId="344" applyNumberFormat="1" applyFont="1" applyFill="1" applyBorder="1" applyAlignment="1">
      <alignment horizontal="center" vertical="center"/>
    </xf>
    <xf numFmtId="185" fontId="23" fillId="0" borderId="18" xfId="2" applyNumberFormat="1" applyFont="1" applyBorder="1" applyAlignment="1">
      <alignment vertical="top"/>
    </xf>
    <xf numFmtId="0" fontId="23" fillId="0" borderId="19" xfId="2" applyFont="1" applyBorder="1" applyAlignment="1">
      <alignment vertical="top"/>
    </xf>
    <xf numFmtId="185" fontId="23" fillId="0" borderId="19" xfId="2" applyNumberFormat="1" applyFont="1" applyBorder="1" applyAlignment="1">
      <alignment vertical="top"/>
    </xf>
    <xf numFmtId="0" fontId="23" fillId="0" borderId="20" xfId="2" applyFont="1" applyBorder="1" applyAlignment="1">
      <alignment vertical="top"/>
    </xf>
    <xf numFmtId="44" fontId="18" fillId="0" borderId="22" xfId="351" applyFont="1" applyFill="1" applyBorder="1" applyAlignment="1" applyProtection="1">
      <alignment horizontal="right" vertical="center"/>
    </xf>
    <xf numFmtId="44" fontId="18" fillId="0" borderId="23" xfId="351" applyFont="1" applyFill="1" applyBorder="1" applyAlignment="1" applyProtection="1">
      <alignment horizontal="right" vertical="center"/>
    </xf>
    <xf numFmtId="44" fontId="18" fillId="0" borderId="24" xfId="351" applyFont="1" applyFill="1" applyBorder="1" applyAlignment="1" applyProtection="1">
      <alignment horizontal="right" vertical="center"/>
    </xf>
    <xf numFmtId="0" fontId="23" fillId="0" borderId="18" xfId="2" applyFont="1" applyBorder="1" applyAlignment="1">
      <alignment horizontal="left" vertical="top"/>
    </xf>
    <xf numFmtId="0" fontId="23" fillId="0" borderId="19" xfId="2" applyFont="1" applyBorder="1" applyAlignment="1">
      <alignment horizontal="left" vertical="top"/>
    </xf>
    <xf numFmtId="0" fontId="23" fillId="0" borderId="20" xfId="2" applyFont="1" applyBorder="1" applyAlignment="1">
      <alignment horizontal="left" vertical="top"/>
    </xf>
    <xf numFmtId="185" fontId="23" fillId="0" borderId="18" xfId="2" applyNumberFormat="1" applyFont="1" applyBorder="1" applyAlignment="1">
      <alignment horizontal="left" vertical="top"/>
    </xf>
    <xf numFmtId="185" fontId="23" fillId="0" borderId="19" xfId="2" applyNumberFormat="1" applyFont="1" applyBorder="1" applyAlignment="1">
      <alignment horizontal="left" vertical="top"/>
    </xf>
    <xf numFmtId="0" fontId="18" fillId="0" borderId="22" xfId="2" applyFont="1" applyBorder="1" applyAlignment="1">
      <alignment horizontal="center" vertical="center"/>
    </xf>
    <xf numFmtId="0" fontId="18" fillId="0" borderId="24" xfId="2" applyFont="1" applyBorder="1" applyAlignment="1">
      <alignment horizontal="center" vertical="center"/>
    </xf>
    <xf numFmtId="182" fontId="18" fillId="0" borderId="22" xfId="2" applyNumberFormat="1" applyFont="1" applyBorder="1" applyAlignment="1">
      <alignment horizontal="left" vertical="center"/>
    </xf>
    <xf numFmtId="182" fontId="18" fillId="0" borderId="23" xfId="2" applyNumberFormat="1" applyFont="1" applyBorder="1" applyAlignment="1">
      <alignment horizontal="left" vertical="center"/>
    </xf>
    <xf numFmtId="182" fontId="18" fillId="0" borderId="24" xfId="2" applyNumberFormat="1" applyFont="1" applyBorder="1" applyAlignment="1">
      <alignment horizontal="left" vertical="center"/>
    </xf>
    <xf numFmtId="0" fontId="23" fillId="0" borderId="18" xfId="2" applyFont="1" applyBorder="1" applyAlignment="1">
      <alignment vertical="top"/>
    </xf>
    <xf numFmtId="0" fontId="23" fillId="0" borderId="55" xfId="2" applyFont="1" applyBorder="1" applyAlignment="1">
      <alignment horizontal="center" vertical="center" wrapText="1"/>
    </xf>
    <xf numFmtId="0" fontId="0" fillId="0" borderId="56" xfId="0" applyBorder="1" applyAlignment="1"/>
    <xf numFmtId="0" fontId="0" fillId="0" borderId="57" xfId="0" applyBorder="1" applyAlignment="1"/>
    <xf numFmtId="14" fontId="18" fillId="0" borderId="22" xfId="2" applyNumberFormat="1" applyFont="1" applyBorder="1" applyAlignment="1">
      <alignment horizontal="center" vertical="center"/>
    </xf>
    <xf numFmtId="14" fontId="18" fillId="0" borderId="24" xfId="2" applyNumberFormat="1" applyFont="1" applyBorder="1" applyAlignment="1">
      <alignment horizontal="center" vertical="center"/>
    </xf>
    <xf numFmtId="0" fontId="18" fillId="0" borderId="23" xfId="2" applyFont="1" applyBorder="1" applyAlignment="1">
      <alignment horizontal="center" vertical="center"/>
    </xf>
    <xf numFmtId="0" fontId="18" fillId="0" borderId="22" xfId="2" applyFont="1" applyBorder="1" applyAlignment="1">
      <alignment horizontal="center" vertical="center" shrinkToFit="1"/>
    </xf>
    <xf numFmtId="0" fontId="18" fillId="0" borderId="23" xfId="2" applyFont="1" applyBorder="1" applyAlignment="1">
      <alignment horizontal="center" vertical="center" shrinkToFit="1"/>
    </xf>
    <xf numFmtId="0" fontId="18" fillId="0" borderId="24" xfId="2" applyFont="1" applyBorder="1" applyAlignment="1">
      <alignment horizontal="center" vertical="center" shrinkToFit="1"/>
    </xf>
    <xf numFmtId="0" fontId="15" fillId="0" borderId="22" xfId="2" applyBorder="1" applyAlignment="1">
      <alignment horizontal="center" vertical="center"/>
    </xf>
    <xf numFmtId="0" fontId="15" fillId="0" borderId="24" xfId="2" applyBorder="1" applyAlignment="1">
      <alignment horizontal="center" vertical="center"/>
    </xf>
    <xf numFmtId="14" fontId="15" fillId="0" borderId="22" xfId="2" applyNumberFormat="1" applyBorder="1" applyAlignment="1">
      <alignment horizontal="center" vertical="center"/>
    </xf>
    <xf numFmtId="14" fontId="15" fillId="0" borderId="24" xfId="2" applyNumberFormat="1" applyBorder="1" applyAlignment="1">
      <alignment horizontal="center" vertical="center"/>
    </xf>
    <xf numFmtId="0" fontId="15" fillId="0" borderId="23" xfId="2" applyBorder="1" applyAlignment="1">
      <alignment horizontal="center" vertical="center"/>
    </xf>
    <xf numFmtId="0" fontId="15" fillId="0" borderId="22" xfId="2" applyBorder="1" applyAlignment="1">
      <alignment horizontal="center" vertical="center" shrinkToFit="1"/>
    </xf>
    <xf numFmtId="0" fontId="15" fillId="0" borderId="23" xfId="2" applyBorder="1" applyAlignment="1">
      <alignment horizontal="center" vertical="center" shrinkToFit="1"/>
    </xf>
    <xf numFmtId="0" fontId="15" fillId="0" borderId="24" xfId="2" applyBorder="1" applyAlignment="1">
      <alignment horizontal="center" vertical="center" shrinkToFit="1"/>
    </xf>
    <xf numFmtId="184" fontId="23" fillId="0" borderId="18" xfId="2" applyNumberFormat="1" applyFont="1" applyBorder="1" applyAlignment="1">
      <alignment vertical="top"/>
    </xf>
    <xf numFmtId="184" fontId="23" fillId="0" borderId="19" xfId="2" applyNumberFormat="1" applyFont="1" applyBorder="1" applyAlignment="1">
      <alignment vertical="top"/>
    </xf>
    <xf numFmtId="184" fontId="23" fillId="0" borderId="18" xfId="2" applyNumberFormat="1" applyFont="1" applyBorder="1" applyAlignment="1">
      <alignment horizontal="left" vertical="top"/>
    </xf>
    <xf numFmtId="184" fontId="23" fillId="0" borderId="19" xfId="2" applyNumberFormat="1" applyFont="1" applyBorder="1" applyAlignment="1">
      <alignment horizontal="left" vertical="top"/>
    </xf>
    <xf numFmtId="44" fontId="18" fillId="0" borderId="22" xfId="351" applyFont="1" applyBorder="1" applyAlignment="1">
      <alignment horizontal="right" vertical="center"/>
    </xf>
    <xf numFmtId="44" fontId="18" fillId="0" borderId="23" xfId="351" applyFont="1" applyBorder="1" applyAlignment="1">
      <alignment horizontal="right" vertical="center"/>
    </xf>
    <xf numFmtId="44" fontId="18" fillId="0" borderId="24" xfId="351" applyFont="1" applyBorder="1" applyAlignment="1">
      <alignment horizontal="right" vertical="center"/>
    </xf>
    <xf numFmtId="0" fontId="18" fillId="0" borderId="26" xfId="2" applyFont="1" applyBorder="1" applyAlignment="1">
      <alignment horizontal="center" vertical="center"/>
    </xf>
    <xf numFmtId="0" fontId="18" fillId="0" borderId="27" xfId="2" applyFont="1" applyBorder="1" applyAlignment="1">
      <alignment horizontal="center" vertical="center"/>
    </xf>
    <xf numFmtId="184" fontId="3" fillId="0" borderId="0" xfId="2" applyNumberFormat="1" applyFont="1" applyAlignment="1">
      <alignment horizontal="center" vertical="center"/>
    </xf>
    <xf numFmtId="184" fontId="15" fillId="0" borderId="0" xfId="2" applyNumberFormat="1" applyAlignment="1">
      <alignment horizontal="center" vertical="center"/>
    </xf>
    <xf numFmtId="184" fontId="18" fillId="0" borderId="22" xfId="351" applyNumberFormat="1" applyFont="1" applyFill="1" applyBorder="1" applyAlignment="1" applyProtection="1">
      <alignment horizontal="right" vertical="center"/>
    </xf>
    <xf numFmtId="184" fontId="18" fillId="0" borderId="23" xfId="351" applyNumberFormat="1" applyFont="1" applyFill="1" applyBorder="1" applyAlignment="1" applyProtection="1">
      <alignment horizontal="right" vertical="center"/>
    </xf>
    <xf numFmtId="184" fontId="3" fillId="0" borderId="19" xfId="2" applyNumberFormat="1" applyFont="1" applyBorder="1" applyAlignment="1">
      <alignment horizontal="center" vertical="center"/>
    </xf>
    <xf numFmtId="184" fontId="3" fillId="0" borderId="23" xfId="2" applyNumberFormat="1" applyFont="1" applyBorder="1" applyAlignment="1">
      <alignment horizontal="center" vertical="center"/>
    </xf>
    <xf numFmtId="184" fontId="3" fillId="0" borderId="19" xfId="2" applyNumberFormat="1" applyFont="1" applyBorder="1" applyAlignment="1">
      <alignment horizontal="left" vertical="center"/>
    </xf>
    <xf numFmtId="184" fontId="3" fillId="0" borderId="23" xfId="2" applyNumberFormat="1" applyFont="1" applyBorder="1" applyAlignment="1">
      <alignment horizontal="left" vertical="center"/>
    </xf>
    <xf numFmtId="183" fontId="18" fillId="0" borderId="14" xfId="5" applyNumberFormat="1" applyFont="1" applyFill="1" applyBorder="1" applyAlignment="1" applyProtection="1">
      <alignment horizontal="center" vertical="center"/>
    </xf>
    <xf numFmtId="183" fontId="18" fillId="0" borderId="21" xfId="5" applyNumberFormat="1" applyFont="1" applyFill="1" applyBorder="1" applyAlignment="1" applyProtection="1">
      <alignment horizontal="center" vertical="center"/>
    </xf>
    <xf numFmtId="183" fontId="18" fillId="0" borderId="22" xfId="5" applyNumberFormat="1" applyFont="1" applyFill="1" applyBorder="1" applyAlignment="1" applyProtection="1">
      <alignment horizontal="center" vertical="center"/>
    </xf>
    <xf numFmtId="183" fontId="18" fillId="0" borderId="24" xfId="5" applyNumberFormat="1" applyFont="1" applyFill="1" applyBorder="1" applyAlignment="1" applyProtection="1">
      <alignment horizontal="center" vertical="center"/>
    </xf>
    <xf numFmtId="0" fontId="23" fillId="0" borderId="0" xfId="2" applyFont="1" applyFill="1" applyBorder="1" applyAlignment="1">
      <alignment vertical="top"/>
    </xf>
    <xf numFmtId="0" fontId="23" fillId="0" borderId="18" xfId="2" applyFont="1" applyFill="1" applyBorder="1" applyAlignment="1">
      <alignment vertical="top"/>
    </xf>
    <xf numFmtId="0" fontId="23" fillId="0" borderId="19" xfId="2" applyFont="1" applyFill="1" applyBorder="1" applyAlignment="1">
      <alignment vertical="top"/>
    </xf>
    <xf numFmtId="0" fontId="23" fillId="0" borderId="20" xfId="2" applyFont="1" applyFill="1" applyBorder="1" applyAlignment="1">
      <alignment vertical="top"/>
    </xf>
    <xf numFmtId="0" fontId="23" fillId="0" borderId="19" xfId="2" applyFont="1" applyFill="1" applyBorder="1" applyAlignment="1">
      <alignment horizontal="left" vertical="top"/>
    </xf>
    <xf numFmtId="0" fontId="23" fillId="0" borderId="20" xfId="2" applyFont="1" applyFill="1" applyBorder="1" applyAlignment="1">
      <alignment horizontal="left" vertical="top"/>
    </xf>
    <xf numFmtId="0" fontId="15" fillId="0" borderId="22" xfId="2" applyFill="1" applyBorder="1" applyAlignment="1">
      <alignment horizontal="center" vertical="center"/>
    </xf>
    <xf numFmtId="0" fontId="15" fillId="0" borderId="24" xfId="2" applyFill="1" applyBorder="1" applyAlignment="1">
      <alignment horizontal="center" vertical="center"/>
    </xf>
    <xf numFmtId="14" fontId="15" fillId="0" borderId="22" xfId="2" applyNumberFormat="1" applyFill="1" applyBorder="1" applyAlignment="1">
      <alignment horizontal="center" vertical="center"/>
    </xf>
    <xf numFmtId="14" fontId="15" fillId="0" borderId="24" xfId="2" applyNumberFormat="1" applyFill="1" applyBorder="1" applyAlignment="1">
      <alignment horizontal="center" vertical="center"/>
    </xf>
    <xf numFmtId="0" fontId="15" fillId="0" borderId="23" xfId="2" applyFill="1" applyBorder="1" applyAlignment="1">
      <alignment horizontal="center" vertical="center"/>
    </xf>
    <xf numFmtId="0" fontId="23" fillId="0" borderId="55" xfId="2" applyFont="1" applyFill="1" applyBorder="1" applyAlignment="1">
      <alignment horizontal="center" vertical="center" wrapText="1"/>
    </xf>
    <xf numFmtId="0" fontId="23" fillId="0" borderId="56" xfId="2" applyFont="1" applyFill="1" applyBorder="1" applyAlignment="1">
      <alignment horizontal="center" vertical="center" wrapText="1"/>
    </xf>
    <xf numFmtId="0" fontId="23" fillId="0" borderId="57" xfId="2" applyFont="1" applyFill="1" applyBorder="1" applyAlignment="1">
      <alignment horizontal="center" vertical="center" wrapText="1"/>
    </xf>
    <xf numFmtId="0" fontId="15" fillId="0" borderId="22" xfId="40" applyFont="1" applyFill="1" applyBorder="1" applyAlignment="1">
      <alignment horizontal="center" vertical="center"/>
    </xf>
    <xf numFmtId="0" fontId="15" fillId="0" borderId="23" xfId="40" applyFont="1" applyFill="1" applyBorder="1" applyAlignment="1">
      <alignment horizontal="center" vertical="center"/>
    </xf>
    <xf numFmtId="0" fontId="15" fillId="0" borderId="24" xfId="40" applyFont="1" applyFill="1" applyBorder="1" applyAlignment="1">
      <alignment horizontal="center" vertical="center"/>
    </xf>
    <xf numFmtId="190" fontId="15" fillId="0" borderId="22" xfId="40" applyNumberFormat="1" applyFont="1" applyFill="1" applyBorder="1" applyAlignment="1">
      <alignment horizontal="center" vertical="center"/>
    </xf>
    <xf numFmtId="190" fontId="15" fillId="0" borderId="24" xfId="40" applyNumberFormat="1" applyFont="1" applyFill="1" applyBorder="1" applyAlignment="1">
      <alignment horizontal="center" vertical="center"/>
    </xf>
    <xf numFmtId="1" fontId="15" fillId="0" borderId="22" xfId="40" applyNumberFormat="1" applyFont="1" applyFill="1" applyBorder="1" applyAlignment="1">
      <alignment horizontal="center" vertical="center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9" fillId="0" borderId="11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9" fillId="0" borderId="11" xfId="4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9" fillId="0" borderId="12" xfId="41" applyFont="1" applyBorder="1" applyAlignment="1" applyProtection="1">
      <alignment vertical="center" shrinkToFit="1"/>
      <protection locked="0"/>
    </xf>
    <xf numFmtId="0" fontId="24" fillId="0" borderId="11" xfId="41" applyFont="1" applyBorder="1" applyAlignment="1">
      <alignment horizontal="center" vertical="center" shrinkToFit="1"/>
    </xf>
    <xf numFmtId="0" fontId="24" fillId="0" borderId="12" xfId="41" applyFont="1" applyBorder="1" applyAlignment="1">
      <alignment horizontal="center" vertical="center" shrinkToFit="1"/>
    </xf>
    <xf numFmtId="0" fontId="24" fillId="0" borderId="13" xfId="41" applyFont="1" applyBorder="1" applyAlignment="1">
      <alignment horizontal="center" vertical="center" shrinkToFit="1"/>
    </xf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 applyAlignment="1"/>
    <xf numFmtId="0" fontId="6" fillId="0" borderId="7" xfId="41" applyFont="1" applyBorder="1" applyAlignment="1"/>
    <xf numFmtId="0" fontId="6" fillId="0" borderId="8" xfId="41" applyFont="1" applyBorder="1" applyAlignment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 applyAlignment="1"/>
    <xf numFmtId="0" fontId="12" fillId="0" borderId="12" xfId="41" applyFont="1" applyBorder="1" applyAlignment="1"/>
    <xf numFmtId="0" fontId="12" fillId="0" borderId="13" xfId="41" applyFont="1" applyBorder="1" applyAlignment="1"/>
    <xf numFmtId="0" fontId="8" fillId="0" borderId="11" xfId="41" applyFont="1" applyBorder="1" applyAlignment="1" applyProtection="1">
      <alignment horizontal="center" vertical="center" shrinkToFit="1"/>
      <protection locked="0"/>
    </xf>
    <xf numFmtId="0" fontId="8" fillId="0" borderId="13" xfId="41" applyFont="1" applyBorder="1" applyAlignment="1" applyProtection="1">
      <alignment horizontal="center"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4" xfId="41" applyFont="1" applyBorder="1" applyAlignment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24" fillId="0" borderId="11" xfId="41" applyFont="1" applyBorder="1" applyAlignment="1" applyProtection="1">
      <alignment horizontal="center" vertical="center" shrinkToFit="1"/>
      <protection locked="0"/>
    </xf>
    <xf numFmtId="0" fontId="24" fillId="0" borderId="13" xfId="41" applyFont="1" applyBorder="1" applyAlignment="1" applyProtection="1">
      <alignment horizontal="center"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4" fillId="0" borderId="0" xfId="41" applyFont="1" applyAlignment="1"/>
    <xf numFmtId="0" fontId="5" fillId="0" borderId="0" xfId="41" applyFont="1" applyAlignment="1"/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6" fillId="0" borderId="6" xfId="41" quotePrefix="1" applyFont="1" applyBorder="1" applyAlignment="1">
      <alignment vertical="center"/>
    </xf>
    <xf numFmtId="0" fontId="10" fillId="0" borderId="6" xfId="41" applyFont="1" applyBorder="1" applyAlignment="1"/>
    <xf numFmtId="0" fontId="10" fillId="0" borderId="7" xfId="41" applyFont="1" applyBorder="1" applyAlignment="1"/>
    <xf numFmtId="0" fontId="10" fillId="0" borderId="8" xfId="41" applyFont="1" applyBorder="1" applyAlignment="1"/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179" fontId="15" fillId="0" borderId="22" xfId="40" applyNumberFormat="1" applyFont="1" applyFill="1" applyBorder="1" applyAlignment="1">
      <alignment horizontal="center" vertical="center"/>
    </xf>
    <xf numFmtId="179" fontId="15" fillId="0" borderId="24" xfId="40" applyNumberFormat="1" applyFont="1" applyFill="1" applyBorder="1" applyAlignment="1">
      <alignment horizontal="center" vertical="center"/>
    </xf>
    <xf numFmtId="0" fontId="23" fillId="0" borderId="18" xfId="40" applyFont="1" applyFill="1" applyBorder="1" applyAlignment="1">
      <alignment horizontal="left" vertical="top"/>
    </xf>
    <xf numFmtId="0" fontId="23" fillId="0" borderId="20" xfId="40" applyFont="1" applyFill="1" applyBorder="1" applyAlignment="1">
      <alignment horizontal="left" vertical="top"/>
    </xf>
    <xf numFmtId="0" fontId="0" fillId="0" borderId="3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51" fillId="34" borderId="6" xfId="0" applyFont="1" applyFill="1" applyBorder="1" applyAlignment="1" applyProtection="1">
      <alignment horizontal="justify" vertical="top" wrapText="1"/>
      <protection locked="0"/>
    </xf>
    <xf numFmtId="0" fontId="51" fillId="34" borderId="7" xfId="0" applyFont="1" applyFill="1" applyBorder="1" applyAlignment="1" applyProtection="1">
      <alignment horizontal="justify" vertical="top" wrapText="1"/>
      <protection locked="0"/>
    </xf>
    <xf numFmtId="0" fontId="51" fillId="34" borderId="8" xfId="0" applyFont="1" applyFill="1" applyBorder="1" applyAlignment="1" applyProtection="1">
      <alignment horizontal="justify" vertical="top" wrapText="1"/>
      <protection locked="0"/>
    </xf>
    <xf numFmtId="0" fontId="51" fillId="34" borderId="11" xfId="0" applyFont="1" applyFill="1" applyBorder="1" applyAlignment="1" applyProtection="1">
      <alignment horizontal="justify" vertical="top" wrapText="1"/>
      <protection locked="0"/>
    </xf>
    <xf numFmtId="0" fontId="51" fillId="34" borderId="12" xfId="0" applyFont="1" applyFill="1" applyBorder="1" applyAlignment="1" applyProtection="1">
      <alignment horizontal="justify" vertical="top" wrapText="1"/>
      <protection locked="0"/>
    </xf>
    <xf numFmtId="0" fontId="51" fillId="34" borderId="13" xfId="0" applyFont="1" applyFill="1" applyBorder="1" applyAlignment="1" applyProtection="1">
      <alignment horizontal="justify" vertical="top" wrapText="1"/>
      <protection locked="0"/>
    </xf>
    <xf numFmtId="0" fontId="41" fillId="37" borderId="0" xfId="0" applyFont="1" applyFill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2" fillId="34" borderId="3" xfId="0" applyFont="1" applyFill="1" applyBorder="1" applyAlignment="1" applyProtection="1">
      <alignment horizontal="left" vertical="center"/>
      <protection locked="0" hidden="1"/>
    </xf>
    <xf numFmtId="0" fontId="2" fillId="34" borderId="5" xfId="0" applyFont="1" applyFill="1" applyBorder="1" applyAlignment="1" applyProtection="1">
      <alignment horizontal="left" vertical="center"/>
      <protection locked="0" hidden="1"/>
    </xf>
    <xf numFmtId="0" fontId="0" fillId="0" borderId="3" xfId="0" applyFill="1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2" fillId="19" borderId="3" xfId="0" applyFont="1" applyFill="1" applyBorder="1" applyAlignment="1" applyProtection="1">
      <alignment horizontal="left" vertical="center" shrinkToFit="1"/>
      <protection hidden="1"/>
    </xf>
    <xf numFmtId="0" fontId="2" fillId="19" borderId="4" xfId="0" applyFont="1" applyFill="1" applyBorder="1" applyAlignment="1" applyProtection="1">
      <alignment horizontal="left" vertical="center" shrinkToFit="1"/>
      <protection hidden="1"/>
    </xf>
    <xf numFmtId="0" fontId="2" fillId="19" borderId="5" xfId="0" applyFont="1" applyFill="1" applyBorder="1" applyAlignment="1" applyProtection="1">
      <alignment horizontal="left" vertical="center" shrinkToFit="1"/>
      <protection hidden="1"/>
    </xf>
    <xf numFmtId="0" fontId="2" fillId="19" borderId="9" xfId="0" applyFont="1" applyFill="1" applyBorder="1" applyAlignment="1" applyProtection="1">
      <alignment horizontal="left" vertical="center" shrinkToFit="1"/>
      <protection hidden="1"/>
    </xf>
    <xf numFmtId="0" fontId="2" fillId="19" borderId="0" xfId="0" applyFont="1" applyFill="1" applyAlignment="1" applyProtection="1">
      <alignment horizontal="left" vertical="center" shrinkToFit="1"/>
      <protection hidden="1"/>
    </xf>
    <xf numFmtId="0" fontId="2" fillId="19" borderId="10" xfId="0" applyFont="1" applyFill="1" applyBorder="1" applyAlignment="1" applyProtection="1">
      <alignment horizontal="left" vertical="center" shrinkToFit="1"/>
      <protection hidden="1"/>
    </xf>
    <xf numFmtId="0" fontId="2" fillId="19" borderId="11" xfId="0" applyFont="1" applyFill="1" applyBorder="1" applyAlignment="1" applyProtection="1">
      <alignment horizontal="left" vertical="center" shrinkToFit="1"/>
      <protection hidden="1"/>
    </xf>
    <xf numFmtId="0" fontId="2" fillId="19" borderId="12" xfId="0" applyFont="1" applyFill="1" applyBorder="1" applyAlignment="1" applyProtection="1">
      <alignment horizontal="left" vertical="center" shrinkToFit="1"/>
      <protection hidden="1"/>
    </xf>
    <xf numFmtId="0" fontId="2" fillId="19" borderId="13" xfId="0" applyFont="1" applyFill="1" applyBorder="1" applyAlignment="1" applyProtection="1">
      <alignment horizontal="left" vertical="center" shrinkToFit="1"/>
      <protection hidden="1"/>
    </xf>
    <xf numFmtId="0" fontId="2" fillId="19" borderId="6" xfId="0" applyFont="1" applyFill="1" applyBorder="1" applyAlignment="1" applyProtection="1">
      <alignment horizontal="left" vertical="center" shrinkToFit="1"/>
      <protection hidden="1"/>
    </xf>
    <xf numFmtId="0" fontId="2" fillId="19" borderId="7" xfId="0" applyFont="1" applyFill="1" applyBorder="1" applyAlignment="1" applyProtection="1">
      <alignment horizontal="left" vertical="center" shrinkToFit="1"/>
      <protection hidden="1"/>
    </xf>
    <xf numFmtId="0" fontId="2" fillId="19" borderId="8" xfId="0" applyFont="1" applyFill="1" applyBorder="1" applyAlignment="1" applyProtection="1">
      <alignment horizontal="left" vertical="center" shrinkToFit="1"/>
      <protection hidden="1"/>
    </xf>
    <xf numFmtId="0" fontId="2" fillId="19" borderId="9" xfId="0" applyFont="1" applyFill="1" applyBorder="1" applyAlignment="1" applyProtection="1">
      <alignment horizontal="left" vertical="center"/>
      <protection hidden="1"/>
    </xf>
    <xf numFmtId="0" fontId="2" fillId="19" borderId="0" xfId="0" applyFont="1" applyFill="1" applyAlignment="1" applyProtection="1">
      <alignment horizontal="left" vertical="center"/>
      <protection hidden="1"/>
    </xf>
    <xf numFmtId="0" fontId="2" fillId="19" borderId="10" xfId="0" applyFont="1" applyFill="1" applyBorder="1" applyAlignment="1" applyProtection="1">
      <alignment horizontal="left" vertical="center"/>
      <protection hidden="1"/>
    </xf>
    <xf numFmtId="0" fontId="2" fillId="19" borderId="11" xfId="0" applyFont="1" applyFill="1" applyBorder="1" applyAlignment="1" applyProtection="1">
      <alignment horizontal="left" vertical="center"/>
      <protection hidden="1"/>
    </xf>
    <xf numFmtId="0" fontId="2" fillId="19" borderId="12" xfId="0" applyFont="1" applyFill="1" applyBorder="1" applyAlignment="1" applyProtection="1">
      <alignment horizontal="left" vertical="center"/>
      <protection hidden="1"/>
    </xf>
    <xf numFmtId="0" fontId="2" fillId="19" borderId="13" xfId="0" applyFont="1" applyFill="1" applyBorder="1" applyAlignment="1" applyProtection="1">
      <alignment horizontal="left" vertical="center"/>
      <protection hidden="1"/>
    </xf>
    <xf numFmtId="0" fontId="2" fillId="19" borderId="6" xfId="0" applyFont="1" applyFill="1" applyBorder="1" applyAlignment="1" applyProtection="1">
      <alignment horizontal="left" vertical="top" wrapText="1"/>
      <protection hidden="1"/>
    </xf>
    <xf numFmtId="0" fontId="2" fillId="19" borderId="7" xfId="0" applyFont="1" applyFill="1" applyBorder="1" applyAlignment="1" applyProtection="1">
      <alignment horizontal="left" vertical="top" wrapText="1"/>
      <protection hidden="1"/>
    </xf>
    <xf numFmtId="0" fontId="2" fillId="19" borderId="8" xfId="0" applyFont="1" applyFill="1" applyBorder="1" applyAlignment="1" applyProtection="1">
      <alignment horizontal="left" vertical="top" wrapText="1"/>
      <protection hidden="1"/>
    </xf>
    <xf numFmtId="0" fontId="2" fillId="19" borderId="9" xfId="0" applyFont="1" applyFill="1" applyBorder="1" applyAlignment="1" applyProtection="1">
      <alignment horizontal="left" vertical="top" wrapText="1"/>
      <protection hidden="1"/>
    </xf>
    <xf numFmtId="0" fontId="2" fillId="19" borderId="0" xfId="0" applyFont="1" applyFill="1" applyAlignment="1" applyProtection="1">
      <alignment horizontal="left" vertical="top" wrapText="1"/>
      <protection hidden="1"/>
    </xf>
    <xf numFmtId="0" fontId="2" fillId="19" borderId="10" xfId="0" applyFont="1" applyFill="1" applyBorder="1" applyAlignment="1" applyProtection="1">
      <alignment horizontal="left" vertical="top" wrapText="1"/>
      <protection hidden="1"/>
    </xf>
    <xf numFmtId="0" fontId="2" fillId="19" borderId="11" xfId="0" applyFont="1" applyFill="1" applyBorder="1" applyAlignment="1" applyProtection="1">
      <alignment horizontal="left" vertical="top" wrapText="1"/>
      <protection hidden="1"/>
    </xf>
    <xf numFmtId="0" fontId="2" fillId="19" borderId="12" xfId="0" applyFont="1" applyFill="1" applyBorder="1" applyAlignment="1" applyProtection="1">
      <alignment horizontal="left" vertical="top" wrapText="1"/>
      <protection hidden="1"/>
    </xf>
    <xf numFmtId="0" fontId="2" fillId="19" borderId="13" xfId="0" applyFont="1" applyFill="1" applyBorder="1" applyAlignment="1" applyProtection="1">
      <alignment horizontal="left" vertical="top" wrapText="1"/>
      <protection hidden="1"/>
    </xf>
    <xf numFmtId="0" fontId="2" fillId="19" borderId="3" xfId="0" applyFont="1" applyFill="1" applyBorder="1" applyAlignment="1" applyProtection="1">
      <alignment horizontal="left" vertical="center"/>
      <protection hidden="1"/>
    </xf>
    <xf numFmtId="0" fontId="2" fillId="19" borderId="4" xfId="0" applyFont="1" applyFill="1" applyBorder="1" applyAlignment="1" applyProtection="1">
      <alignment horizontal="left" vertical="center"/>
      <protection hidden="1"/>
    </xf>
    <xf numFmtId="0" fontId="2" fillId="19" borderId="5" xfId="0" applyFont="1" applyFill="1" applyBorder="1" applyAlignment="1" applyProtection="1">
      <alignment horizontal="left" vertical="center"/>
      <protection hidden="1"/>
    </xf>
    <xf numFmtId="0" fontId="0" fillId="34" borderId="6" xfId="0" applyFill="1" applyBorder="1" applyAlignment="1" applyProtection="1">
      <alignment horizontal="left" vertical="top" wrapText="1"/>
      <protection locked="0" hidden="1"/>
    </xf>
    <xf numFmtId="0" fontId="0" fillId="34" borderId="7" xfId="0" applyFill="1" applyBorder="1" applyAlignment="1" applyProtection="1">
      <alignment horizontal="left" vertical="top" wrapText="1"/>
      <protection locked="0" hidden="1"/>
    </xf>
    <xf numFmtId="0" fontId="0" fillId="34" borderId="8" xfId="0" applyFill="1" applyBorder="1" applyAlignment="1" applyProtection="1">
      <alignment horizontal="left" vertical="top" wrapText="1"/>
      <protection locked="0" hidden="1"/>
    </xf>
    <xf numFmtId="0" fontId="0" fillId="34" borderId="9" xfId="0" applyFill="1" applyBorder="1" applyAlignment="1" applyProtection="1">
      <alignment horizontal="left" vertical="top" wrapText="1"/>
      <protection locked="0" hidden="1"/>
    </xf>
    <xf numFmtId="0" fontId="0" fillId="34" borderId="0" xfId="0" applyFill="1" applyAlignment="1" applyProtection="1">
      <alignment horizontal="left" vertical="top" wrapText="1"/>
      <protection locked="0" hidden="1"/>
    </xf>
    <xf numFmtId="0" fontId="0" fillId="34" borderId="10" xfId="0" applyFill="1" applyBorder="1" applyAlignment="1" applyProtection="1">
      <alignment horizontal="left" vertical="top" wrapText="1"/>
      <protection locked="0" hidden="1"/>
    </xf>
    <xf numFmtId="0" fontId="0" fillId="34" borderId="11" xfId="0" applyFill="1" applyBorder="1" applyAlignment="1" applyProtection="1">
      <alignment horizontal="left" vertical="top" wrapText="1"/>
      <protection locked="0" hidden="1"/>
    </xf>
    <xf numFmtId="0" fontId="0" fillId="34" borderId="12" xfId="0" applyFill="1" applyBorder="1" applyAlignment="1" applyProtection="1">
      <alignment horizontal="left" vertical="top" wrapText="1"/>
      <protection locked="0" hidden="1"/>
    </xf>
    <xf numFmtId="0" fontId="0" fillId="34" borderId="13" xfId="0" applyFill="1" applyBorder="1" applyAlignment="1" applyProtection="1">
      <alignment horizontal="left" vertical="top" wrapText="1"/>
      <protection locked="0" hidden="1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49" fillId="34" borderId="6" xfId="0" applyFont="1" applyFill="1" applyBorder="1" applyAlignment="1" applyProtection="1">
      <alignment horizontal="left" vertical="top" wrapText="1"/>
      <protection locked="0"/>
    </xf>
    <xf numFmtId="0" fontId="49" fillId="34" borderId="7" xfId="0" applyFont="1" applyFill="1" applyBorder="1" applyAlignment="1" applyProtection="1">
      <alignment horizontal="left" vertical="top" wrapText="1"/>
      <protection locked="0"/>
    </xf>
    <xf numFmtId="0" fontId="49" fillId="34" borderId="8" xfId="0" applyFont="1" applyFill="1" applyBorder="1" applyAlignment="1" applyProtection="1">
      <alignment horizontal="left" vertical="top" wrapText="1"/>
      <protection locked="0"/>
    </xf>
    <xf numFmtId="0" fontId="49" fillId="34" borderId="11" xfId="0" applyFont="1" applyFill="1" applyBorder="1" applyAlignment="1" applyProtection="1">
      <alignment horizontal="left" vertical="top" wrapText="1"/>
      <protection locked="0"/>
    </xf>
    <xf numFmtId="0" fontId="49" fillId="34" borderId="12" xfId="0" applyFont="1" applyFill="1" applyBorder="1" applyAlignment="1" applyProtection="1">
      <alignment horizontal="left" vertical="top" wrapText="1"/>
      <protection locked="0"/>
    </xf>
    <xf numFmtId="0" fontId="49" fillId="34" borderId="13" xfId="0" applyFont="1" applyFill="1" applyBorder="1" applyAlignment="1" applyProtection="1">
      <alignment horizontal="left" vertical="top" wrapText="1"/>
      <protection locked="0"/>
    </xf>
    <xf numFmtId="0" fontId="25" fillId="34" borderId="29" xfId="0" applyFont="1" applyFill="1" applyBorder="1" applyAlignment="1" applyProtection="1">
      <alignment horizontal="left" vertical="top" wrapText="1"/>
      <protection locked="0"/>
    </xf>
    <xf numFmtId="178" fontId="43" fillId="0" borderId="1" xfId="0" applyNumberFormat="1" applyFont="1" applyBorder="1" applyAlignment="1">
      <alignment horizontal="center" vertical="center"/>
    </xf>
    <xf numFmtId="178" fontId="43" fillId="0" borderId="2" xfId="0" applyNumberFormat="1" applyFont="1" applyBorder="1" applyAlignment="1">
      <alignment horizontal="center" vertical="center"/>
    </xf>
    <xf numFmtId="49" fontId="0" fillId="37" borderId="15" xfId="0" applyNumberFormat="1" applyFill="1" applyBorder="1" applyAlignment="1">
      <alignment horizontal="right" vertical="center" wrapText="1"/>
    </xf>
    <xf numFmtId="0" fontId="64" fillId="0" borderId="6" xfId="0" applyFont="1" applyBorder="1" applyAlignment="1">
      <alignment horizontal="left" vertical="top" wrapText="1"/>
    </xf>
    <xf numFmtId="0" fontId="64" fillId="0" borderId="7" xfId="0" applyFont="1" applyBorder="1" applyAlignment="1">
      <alignment horizontal="left" vertical="top" wrapText="1"/>
    </xf>
    <xf numFmtId="0" fontId="64" fillId="0" borderId="8" xfId="0" applyFont="1" applyBorder="1" applyAlignment="1">
      <alignment horizontal="left" vertical="top" wrapText="1"/>
    </xf>
    <xf numFmtId="0" fontId="64" fillId="0" borderId="9" xfId="0" applyFont="1" applyBorder="1" applyAlignment="1">
      <alignment horizontal="left" vertical="top" wrapText="1"/>
    </xf>
    <xf numFmtId="0" fontId="64" fillId="0" borderId="0" xfId="0" applyFont="1" applyBorder="1" applyAlignment="1">
      <alignment horizontal="left" vertical="top" wrapText="1"/>
    </xf>
    <xf numFmtId="0" fontId="64" fillId="0" borderId="10" xfId="0" applyFont="1" applyBorder="1" applyAlignment="1">
      <alignment horizontal="left" vertical="top" wrapText="1"/>
    </xf>
    <xf numFmtId="0" fontId="64" fillId="0" borderId="11" xfId="0" applyFont="1" applyBorder="1" applyAlignment="1">
      <alignment horizontal="left" vertical="top" wrapText="1"/>
    </xf>
    <xf numFmtId="0" fontId="64" fillId="0" borderId="12" xfId="0" applyFont="1" applyBorder="1" applyAlignment="1">
      <alignment horizontal="left" vertical="top" wrapText="1"/>
    </xf>
    <xf numFmtId="0" fontId="64" fillId="0" borderId="13" xfId="0" applyFont="1" applyBorder="1" applyAlignment="1">
      <alignment horizontal="left" vertical="top" wrapText="1"/>
    </xf>
    <xf numFmtId="14" fontId="25" fillId="34" borderId="3" xfId="0" applyNumberFormat="1" applyFont="1" applyFill="1" applyBorder="1" applyAlignment="1" applyProtection="1">
      <alignment horizontal="center"/>
      <protection locked="0"/>
    </xf>
    <xf numFmtId="14" fontId="25" fillId="34" borderId="4" xfId="0" applyNumberFormat="1" applyFont="1" applyFill="1" applyBorder="1" applyAlignment="1" applyProtection="1">
      <alignment horizontal="center"/>
      <protection locked="0"/>
    </xf>
    <xf numFmtId="14" fontId="25" fillId="34" borderId="5" xfId="0" applyNumberFormat="1" applyFont="1" applyFill="1" applyBorder="1" applyAlignment="1" applyProtection="1">
      <alignment horizontal="center"/>
      <protection locked="0"/>
    </xf>
    <xf numFmtId="0" fontId="0" fillId="37" borderId="4" xfId="0" applyFill="1" applyBorder="1" applyAlignment="1">
      <alignment horizontal="center"/>
    </xf>
    <xf numFmtId="0" fontId="0" fillId="34" borderId="3" xfId="0" applyFill="1" applyBorder="1" applyAlignment="1" applyProtection="1">
      <alignment horizontal="left" shrinkToFit="1"/>
      <protection locked="0" hidden="1"/>
    </xf>
    <xf numFmtId="0" fontId="0" fillId="34" borderId="4" xfId="0" applyFill="1" applyBorder="1" applyAlignment="1" applyProtection="1">
      <alignment horizontal="left" shrinkToFit="1"/>
      <protection locked="0" hidden="1"/>
    </xf>
    <xf numFmtId="0" fontId="0" fillId="34" borderId="5" xfId="0" applyFill="1" applyBorder="1" applyAlignment="1" applyProtection="1">
      <alignment horizontal="left" shrinkToFit="1"/>
      <protection locked="0" hidden="1"/>
    </xf>
    <xf numFmtId="0" fontId="52" fillId="0" borderId="0" xfId="0" applyFont="1" applyAlignment="1">
      <alignment horizontal="center"/>
    </xf>
    <xf numFmtId="0" fontId="52" fillId="0" borderId="0" xfId="0" applyFont="1" applyAlignment="1">
      <alignment horizontal="center" vertical="center" wrapText="1"/>
    </xf>
    <xf numFmtId="191" fontId="0" fillId="34" borderId="29" xfId="0" applyNumberFormat="1" applyFill="1" applyBorder="1" applyAlignment="1" applyProtection="1">
      <alignment horizontal="center"/>
      <protection locked="0"/>
    </xf>
    <xf numFmtId="14" fontId="0" fillId="0" borderId="29" xfId="0" applyNumberFormat="1" applyFill="1" applyBorder="1" applyAlignment="1" applyProtection="1">
      <alignment horizontal="center" vertical="center" shrinkToFit="1"/>
      <protection locked="0"/>
    </xf>
  </cellXfs>
  <cellStyles count="352">
    <cellStyle name="20% - Accent1 2" xfId="46"/>
    <cellStyle name="20% - Accent1 2 2" xfId="47"/>
    <cellStyle name="20% - Accent1 3" xfId="48"/>
    <cellStyle name="20% - Accent1 4" xfId="49"/>
    <cellStyle name="20% - Accent2 2" xfId="50"/>
    <cellStyle name="20% - Accent2 2 2" xfId="51"/>
    <cellStyle name="20% - Accent2 3" xfId="52"/>
    <cellStyle name="20% - Accent2 4" xfId="53"/>
    <cellStyle name="20% - Accent3 2" xfId="54"/>
    <cellStyle name="20% - Accent3 2 2" xfId="55"/>
    <cellStyle name="20% - Accent3 3" xfId="56"/>
    <cellStyle name="20% - Accent3 4" xfId="57"/>
    <cellStyle name="20% - Accent4 2" xfId="58"/>
    <cellStyle name="20% - Accent4 2 2" xfId="59"/>
    <cellStyle name="20% - Accent4 3" xfId="60"/>
    <cellStyle name="20% - Accent4 4" xfId="61"/>
    <cellStyle name="20% - Accent5 2" xfId="62"/>
    <cellStyle name="20% - Accent5 2 2" xfId="63"/>
    <cellStyle name="20% - Accent5 3" xfId="64"/>
    <cellStyle name="20% - Accent5 4" xfId="65"/>
    <cellStyle name="20% - Accent6 2" xfId="66"/>
    <cellStyle name="20% - Accent6 2 2" xfId="67"/>
    <cellStyle name="20% - Accent6 3" xfId="68"/>
    <cellStyle name="20% - Accent6 4" xfId="69"/>
    <cellStyle name="40% - Accent1 2" xfId="70"/>
    <cellStyle name="40% - Accent1 2 2" xfId="71"/>
    <cellStyle name="40% - Accent1 3" xfId="72"/>
    <cellStyle name="40% - Accent1 4" xfId="73"/>
    <cellStyle name="40% - Accent2 2" xfId="74"/>
    <cellStyle name="40% - Accent2 2 2" xfId="75"/>
    <cellStyle name="40% - Accent2 3" xfId="76"/>
    <cellStyle name="40% - Accent2 4" xfId="77"/>
    <cellStyle name="40% - Accent3 2" xfId="78"/>
    <cellStyle name="40% - Accent3 2 2" xfId="79"/>
    <cellStyle name="40% - Accent3 3" xfId="80"/>
    <cellStyle name="40% - Accent3 4" xfId="81"/>
    <cellStyle name="40% - Accent4 2" xfId="82"/>
    <cellStyle name="40% - Accent4 2 2" xfId="83"/>
    <cellStyle name="40% - Accent4 3" xfId="84"/>
    <cellStyle name="40% - Accent4 4" xfId="85"/>
    <cellStyle name="40% - Accent5 2" xfId="86"/>
    <cellStyle name="40% - Accent5 2 2" xfId="87"/>
    <cellStyle name="40% - Accent5 3" xfId="88"/>
    <cellStyle name="40% - Accent5 4" xfId="89"/>
    <cellStyle name="40% - Accent6 2" xfId="90"/>
    <cellStyle name="40% - Accent6 2 2" xfId="91"/>
    <cellStyle name="40% - Accent6 3" xfId="92"/>
    <cellStyle name="40% - Accent6 4" xfId="93"/>
    <cellStyle name="autoPopulatedData" xfId="94"/>
    <cellStyle name="Bad 2" xfId="95"/>
    <cellStyle name="Bad 2 2" xfId="96"/>
    <cellStyle name="Bad 3" xfId="97"/>
    <cellStyle name="Bad 4" xfId="98"/>
    <cellStyle name="Bad 4 2" xfId="99"/>
    <cellStyle name="Bad1" xfId="100"/>
    <cellStyle name="Bad1 2" xfId="101"/>
    <cellStyle name="Comma 10" xfId="102"/>
    <cellStyle name="Comma 10 2" xfId="103"/>
    <cellStyle name="Comma 10 2 2" xfId="104"/>
    <cellStyle name="Comma 10 3" xfId="105"/>
    <cellStyle name="Comma 11" xfId="106"/>
    <cellStyle name="Comma 11 2" xfId="107"/>
    <cellStyle name="Comma 12" xfId="108"/>
    <cellStyle name="Comma 12 2" xfId="109"/>
    <cellStyle name="Comma 2" xfId="7"/>
    <cellStyle name="Comma 2 2" xfId="110"/>
    <cellStyle name="Comma 2 2 2" xfId="111"/>
    <cellStyle name="Comma 2 3" xfId="112"/>
    <cellStyle name="Comma 3" xfId="8"/>
    <cellStyle name="Comma 3 2" xfId="113"/>
    <cellStyle name="Comma 3 2 2" xfId="114"/>
    <cellStyle name="Comma 3 3" xfId="115"/>
    <cellStyle name="Comma 4" xfId="9"/>
    <cellStyle name="Comma 4 2" xfId="116"/>
    <cellStyle name="Comma 4 2 2" xfId="117"/>
    <cellStyle name="Comma 4 3" xfId="118"/>
    <cellStyle name="Comma 5" xfId="119"/>
    <cellStyle name="Comma 5 2" xfId="120"/>
    <cellStyle name="Comma 6" xfId="121"/>
    <cellStyle name="Comma 6 2" xfId="122"/>
    <cellStyle name="Comma 6 2 2" xfId="123"/>
    <cellStyle name="Comma 6 3" xfId="124"/>
    <cellStyle name="Comma 7" xfId="125"/>
    <cellStyle name="Comma 7 2" xfId="126"/>
    <cellStyle name="Comma 7 2 2" xfId="127"/>
    <cellStyle name="Comma 7 3" xfId="128"/>
    <cellStyle name="Comma 8" xfId="129"/>
    <cellStyle name="Comma 8 2" xfId="130"/>
    <cellStyle name="Comma 8 2 2" xfId="131"/>
    <cellStyle name="Comma 8 3" xfId="132"/>
    <cellStyle name="Comma 9" xfId="133"/>
    <cellStyle name="Comma 9 2" xfId="134"/>
    <cellStyle name="Comma 9 2 2" xfId="135"/>
    <cellStyle name="Comma 9 3" xfId="136"/>
    <cellStyle name="Completed" xfId="137"/>
    <cellStyle name="Coppo" xfId="138"/>
    <cellStyle name="Currency 2" xfId="10"/>
    <cellStyle name="Currency 2 2" xfId="139"/>
    <cellStyle name="Currency 2 2 2" xfId="140"/>
    <cellStyle name="Currency 2 3" xfId="141"/>
    <cellStyle name="Currency 3" xfId="142"/>
    <cellStyle name="Currency 3 2" xfId="143"/>
    <cellStyle name="Currency 3 2 2" xfId="144"/>
    <cellStyle name="Currency 3 3" xfId="145"/>
    <cellStyle name="Currency 4" xfId="146"/>
    <cellStyle name="Currency 4 2" xfId="147"/>
    <cellStyle name="Currency 4 2 2" xfId="148"/>
    <cellStyle name="Currency 4 3" xfId="149"/>
    <cellStyle name="Currency 5" xfId="150"/>
    <cellStyle name="Currency 5 2" xfId="151"/>
    <cellStyle name="Currency 6" xfId="152"/>
    <cellStyle name="Euro" xfId="153"/>
    <cellStyle name="Euro 2" xfId="154"/>
    <cellStyle name="Euro 3" xfId="155"/>
    <cellStyle name="Existing" xfId="156"/>
    <cellStyle name="Good 2" xfId="157"/>
    <cellStyle name="Good 3" xfId="158"/>
    <cellStyle name="Good 4" xfId="159"/>
    <cellStyle name="Komma 2" xfId="160"/>
    <cellStyle name="Komma 2 2" xfId="161"/>
    <cellStyle name="LineItemError" xfId="162"/>
    <cellStyle name="Migliaia" xfId="347" builtinId="3"/>
    <cellStyle name="Migliaia [0] 2" xfId="4"/>
    <cellStyle name="Migliaia 10" xfId="11"/>
    <cellStyle name="Migliaia 11" xfId="12"/>
    <cellStyle name="Migliaia 12" xfId="13"/>
    <cellStyle name="Migliaia 13" xfId="14"/>
    <cellStyle name="Migliaia 14" xfId="15"/>
    <cellStyle name="Migliaia 15" xfId="16"/>
    <cellStyle name="Migliaia 16" xfId="43"/>
    <cellStyle name="Migliaia 17" xfId="345"/>
    <cellStyle name="Migliaia 18" xfId="346"/>
    <cellStyle name="Migliaia 19" xfId="350"/>
    <cellStyle name="Migliaia 2" xfId="1"/>
    <cellStyle name="Migliaia 2 2" xfId="17"/>
    <cellStyle name="Migliaia 2 2 2" xfId="18"/>
    <cellStyle name="Migliaia 2 3" xfId="39"/>
    <cellStyle name="Migliaia 3" xfId="19"/>
    <cellStyle name="Migliaia 4" xfId="20"/>
    <cellStyle name="Migliaia 4 2" xfId="21"/>
    <cellStyle name="Migliaia 4 3" xfId="42"/>
    <cellStyle name="Migliaia 5" xfId="22"/>
    <cellStyle name="Migliaia 6" xfId="23"/>
    <cellStyle name="Migliaia 6 2" xfId="24"/>
    <cellStyle name="Migliaia 7" xfId="25"/>
    <cellStyle name="Migliaia 7 2" xfId="26"/>
    <cellStyle name="Migliaia 8" xfId="27"/>
    <cellStyle name="Migliaia 9" xfId="28"/>
    <cellStyle name="Neutral 2" xfId="163"/>
    <cellStyle name="Neutral 3" xfId="164"/>
    <cellStyle name="Neutral 4" xfId="165"/>
    <cellStyle name="Normal 10" xfId="166"/>
    <cellStyle name="Normal 10 2" xfId="167"/>
    <cellStyle name="Normal 10 2 2" xfId="168"/>
    <cellStyle name="Normal 10 2 3" xfId="169"/>
    <cellStyle name="Normal 10 2 4" xfId="170"/>
    <cellStyle name="Normal 10 2 4 2" xfId="171"/>
    <cellStyle name="Normal 10 2 5" xfId="172"/>
    <cellStyle name="Normal 10 3" xfId="173"/>
    <cellStyle name="Normal 10 4" xfId="174"/>
    <cellStyle name="Normal 11" xfId="175"/>
    <cellStyle name="Normal 11 2" xfId="176"/>
    <cellStyle name="Normal 11 3" xfId="177"/>
    <cellStyle name="Normal 12" xfId="178"/>
    <cellStyle name="Normal 12 2" xfId="179"/>
    <cellStyle name="Normal 12 3" xfId="180"/>
    <cellStyle name="Normal 12 3 2" xfId="181"/>
    <cellStyle name="Normal 13" xfId="182"/>
    <cellStyle name="Normal 13 2" xfId="183"/>
    <cellStyle name="Normal 13 3" xfId="184"/>
    <cellStyle name="Normal 14" xfId="185"/>
    <cellStyle name="Normal 14 2" xfId="186"/>
    <cellStyle name="Normal 15" xfId="187"/>
    <cellStyle name="Normal 15 2" xfId="188"/>
    <cellStyle name="Normal 15 3" xfId="189"/>
    <cellStyle name="Normal 15 3 2" xfId="190"/>
    <cellStyle name="Normal 16" xfId="191"/>
    <cellStyle name="Normal 16 2" xfId="192"/>
    <cellStyle name="Normal 17" xfId="193"/>
    <cellStyle name="Normal 17 2" xfId="194"/>
    <cellStyle name="Normal 17 2 2" xfId="195"/>
    <cellStyle name="Normal 17 2 3" xfId="196"/>
    <cellStyle name="Normal 17 3" xfId="197"/>
    <cellStyle name="Normal 17 4" xfId="198"/>
    <cellStyle name="Normal 18" xfId="199"/>
    <cellStyle name="Normal 18 2" xfId="200"/>
    <cellStyle name="Normal 18 3" xfId="201"/>
    <cellStyle name="Normal 18 4" xfId="202"/>
    <cellStyle name="Normal 19" xfId="203"/>
    <cellStyle name="Normal 19 2" xfId="204"/>
    <cellStyle name="Normal 19 3" xfId="205"/>
    <cellStyle name="Normal 19 4" xfId="206"/>
    <cellStyle name="Normal 19 5" xfId="207"/>
    <cellStyle name="Normal 19 5 2" xfId="208"/>
    <cellStyle name="Normal 19 5 2 2" xfId="209"/>
    <cellStyle name="Normal 19 5 3" xfId="210"/>
    <cellStyle name="Normal 19 6" xfId="211"/>
    <cellStyle name="Normal 19 7" xfId="212"/>
    <cellStyle name="Normal 19 7 2" xfId="213"/>
    <cellStyle name="Normal 2" xfId="214"/>
    <cellStyle name="Normal 2 2" xfId="215"/>
    <cellStyle name="Normal 2 2 2" xfId="216"/>
    <cellStyle name="Normal 2 2 2 2" xfId="217"/>
    <cellStyle name="Normal 2 2 2 3" xfId="218"/>
    <cellStyle name="Normal 2 2 3" xfId="219"/>
    <cellStyle name="Normal 2 2 4" xfId="220"/>
    <cellStyle name="Normal 2 2 5" xfId="221"/>
    <cellStyle name="Normal 2 3" xfId="222"/>
    <cellStyle name="Normal 2 3 2" xfId="223"/>
    <cellStyle name="Normal 2 3 3" xfId="224"/>
    <cellStyle name="Normal 2 4" xfId="225"/>
    <cellStyle name="Normal 2 5" xfId="226"/>
    <cellStyle name="Normal 2 6" xfId="227"/>
    <cellStyle name="Normal 2 7" xfId="228"/>
    <cellStyle name="Normal 20" xfId="229"/>
    <cellStyle name="Normal 20 2" xfId="230"/>
    <cellStyle name="Normal 20 3" xfId="231"/>
    <cellStyle name="Normal 21" xfId="232"/>
    <cellStyle name="Normal 21 2" xfId="233"/>
    <cellStyle name="Normal 21 3" xfId="234"/>
    <cellStyle name="Normal 22" xfId="235"/>
    <cellStyle name="Normal 22 2" xfId="236"/>
    <cellStyle name="Normal 23" xfId="237"/>
    <cellStyle name="Normal 23 2" xfId="238"/>
    <cellStyle name="Normal 23 3" xfId="239"/>
    <cellStyle name="Normal 24" xfId="240"/>
    <cellStyle name="Normal 24 2" xfId="241"/>
    <cellStyle name="Normal 25" xfId="242"/>
    <cellStyle name="Normal 25 2" xfId="243"/>
    <cellStyle name="Normal 25 3" xfId="244"/>
    <cellStyle name="Normal 25 3 2" xfId="245"/>
    <cellStyle name="Normal 25 3 2 2" xfId="246"/>
    <cellStyle name="Normal 25 3 3" xfId="247"/>
    <cellStyle name="Normal 25 4" xfId="248"/>
    <cellStyle name="Normal 25 4 2" xfId="249"/>
    <cellStyle name="Normal 26" xfId="250"/>
    <cellStyle name="Normal 26 2" xfId="251"/>
    <cellStyle name="Normal 27" xfId="252"/>
    <cellStyle name="Normal 27 2" xfId="253"/>
    <cellStyle name="Normal 28" xfId="254"/>
    <cellStyle name="Normal 29" xfId="255"/>
    <cellStyle name="Normal 3" xfId="29"/>
    <cellStyle name="Normal 3 2" xfId="256"/>
    <cellStyle name="Normal 3 2 2" xfId="257"/>
    <cellStyle name="Normal 3 2 3" xfId="258"/>
    <cellStyle name="Normal 3 3" xfId="259"/>
    <cellStyle name="Normal 3 4" xfId="260"/>
    <cellStyle name="Normal 3 5" xfId="261"/>
    <cellStyle name="Normal 3 6" xfId="262"/>
    <cellStyle name="Normal 30" xfId="263"/>
    <cellStyle name="Normal 30 2" xfId="264"/>
    <cellStyle name="Normal 4" xfId="265"/>
    <cellStyle name="Normal 4 2" xfId="266"/>
    <cellStyle name="Normal 4 2 2" xfId="267"/>
    <cellStyle name="Normal 4 2 3" xfId="268"/>
    <cellStyle name="Normal 4 3" xfId="269"/>
    <cellStyle name="Normal 4 4" xfId="270"/>
    <cellStyle name="Normal 5" xfId="271"/>
    <cellStyle name="Normal 5 2" xfId="272"/>
    <cellStyle name="Normal 5 2 2" xfId="273"/>
    <cellStyle name="Normal 5 2 3" xfId="274"/>
    <cellStyle name="Normal 5 3" xfId="275"/>
    <cellStyle name="Normal 5 4" xfId="276"/>
    <cellStyle name="Normal 6" xfId="277"/>
    <cellStyle name="Normal 6 2" xfId="278"/>
    <cellStyle name="Normal 6 2 2" xfId="279"/>
    <cellStyle name="Normal 6 2 3" xfId="280"/>
    <cellStyle name="Normal 6 3" xfId="281"/>
    <cellStyle name="Normal 6 4" xfId="282"/>
    <cellStyle name="Normal 7" xfId="283"/>
    <cellStyle name="Normal 7 2" xfId="284"/>
    <cellStyle name="Normal 7 2 2" xfId="285"/>
    <cellStyle name="Normal 7 2 3" xfId="286"/>
    <cellStyle name="Normal 7 3" xfId="287"/>
    <cellStyle name="Normal 7 4" xfId="288"/>
    <cellStyle name="Normal 8" xfId="289"/>
    <cellStyle name="Normal 8 2" xfId="290"/>
    <cellStyle name="Normal 8 2 2" xfId="291"/>
    <cellStyle name="Normal 8 2 3" xfId="292"/>
    <cellStyle name="Normal 8 3" xfId="293"/>
    <cellStyle name="Normal 8 4" xfId="294"/>
    <cellStyle name="Normal 9" xfId="295"/>
    <cellStyle name="Normal 9 2" xfId="296"/>
    <cellStyle name="Normal 9 2 2" xfId="297"/>
    <cellStyle name="Normal 9 2 2 2" xfId="298"/>
    <cellStyle name="Normal 9 2 2 3" xfId="299"/>
    <cellStyle name="Normal 9 2 2 4" xfId="300"/>
    <cellStyle name="Normal 9 2 2 4 2" xfId="301"/>
    <cellStyle name="Normal 9 2 2 5" xfId="302"/>
    <cellStyle name="Normal 9 2 3" xfId="303"/>
    <cellStyle name="Normal 9 2 4" xfId="304"/>
    <cellStyle name="Normal 9 3" xfId="305"/>
    <cellStyle name="Normal 9 4" xfId="306"/>
    <cellStyle name="Normal1" xfId="307"/>
    <cellStyle name="Normale" xfId="0" builtinId="0"/>
    <cellStyle name="Normale 2" xfId="2"/>
    <cellStyle name="Normale 3" xfId="30"/>
    <cellStyle name="Normale 3 2" xfId="31"/>
    <cellStyle name="Normale 3 3" xfId="40"/>
    <cellStyle name="Normale 3 3 2" xfId="41"/>
    <cellStyle name="Normale 4" xfId="6"/>
    <cellStyle name="Normale 5" xfId="32"/>
    <cellStyle name="Normale 6" xfId="44"/>
    <cellStyle name="Normale 7" xfId="343"/>
    <cellStyle name="Normale 8" xfId="348"/>
    <cellStyle name="Note 2" xfId="308"/>
    <cellStyle name="Note 2 2" xfId="309"/>
    <cellStyle name="Note 3" xfId="310"/>
    <cellStyle name="Note 4" xfId="311"/>
    <cellStyle name="notUpdatable" xfId="312"/>
    <cellStyle name="Optional" xfId="313"/>
    <cellStyle name="Optional 2" xfId="314"/>
    <cellStyle name="Optional2" xfId="315"/>
    <cellStyle name="Optional2 2" xfId="316"/>
    <cellStyle name="OptionalForCommit" xfId="317"/>
    <cellStyle name="OverridingAllowed" xfId="318"/>
    <cellStyle name="OverridingAllowed 2" xfId="319"/>
    <cellStyle name="Percent 2" xfId="33"/>
    <cellStyle name="Percent 2 2" xfId="320"/>
    <cellStyle name="Percent 3" xfId="321"/>
    <cellStyle name="Percent 3 2" xfId="322"/>
    <cellStyle name="Percent 4" xfId="323"/>
    <cellStyle name="Percent 4 2" xfId="324"/>
    <cellStyle name="Percent 5" xfId="325"/>
    <cellStyle name="Percent 5 2" xfId="326"/>
    <cellStyle name="Percent 6" xfId="327"/>
    <cellStyle name="Percent 6 2" xfId="328"/>
    <cellStyle name="Percent 7" xfId="329"/>
    <cellStyle name="Percent 8" xfId="330"/>
    <cellStyle name="Percentuale" xfId="344" builtinId="5"/>
    <cellStyle name="Percentuale 2" xfId="34"/>
    <cellStyle name="Percentuale 2 2" xfId="35"/>
    <cellStyle name="Percentuale 3" xfId="36"/>
    <cellStyle name="Percentuale 4" xfId="45"/>
    <cellStyle name="Required" xfId="331"/>
    <cellStyle name="Required2" xfId="332"/>
    <cellStyle name="Sample" xfId="333"/>
    <cellStyle name="SkipRequired" xfId="334"/>
    <cellStyle name="Standaard 2" xfId="335"/>
    <cellStyle name="Standard 4" xfId="336"/>
    <cellStyle name="StringOnly" xfId="337"/>
    <cellStyle name="Title 2" xfId="338"/>
    <cellStyle name="Valuta" xfId="351" builtinId="4"/>
    <cellStyle name="Valuta 2" xfId="3"/>
    <cellStyle name="Valuta 2 2" xfId="37"/>
    <cellStyle name="Valuta 2 3" xfId="38"/>
    <cellStyle name="Valuta 3" xfId="5"/>
    <cellStyle name="Valuta 4" xfId="339"/>
    <cellStyle name="Valuta 5" xfId="349"/>
    <cellStyle name="Warnings" xfId="340"/>
    <cellStyle name="Warnings 2" xfId="341"/>
    <cellStyle name="Κανονικό 2" xfId="342"/>
  </cellStyles>
  <dxfs count="341"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  <alignment horizontal="center" vertical="center" wrapText="1" readingOrder="0"/>
    </dxf>
    <dxf>
      <alignment vertical="center" readingOrder="0"/>
    </dxf>
    <dxf>
      <alignment horizontal="center" readingOrder="0"/>
    </dxf>
    <dxf>
      <alignment vertical="center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alignment vertic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alignment horizontal="right" readingOrder="0"/>
    </dxf>
    <dxf>
      <alignment horizontal="righ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34" formatCode="_-* #,##0.00\ &quot;€&quot;_-;\-* #,##0.00\ &quot;€&quot;_-;_-* &quot;-&quot;??\ &quot;€&quot;_-;_-@_-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indexed="64"/>
        </left>
        <right style="medium">
          <color indexed="64"/>
        </right>
        <top/>
        <bottom/>
      </border>
    </dxf>
    <dxf>
      <border diagonalUp="0" diagonalDown="0">
        <left style="hair">
          <color indexed="64"/>
        </left>
        <right style="hair">
          <color indexed="64"/>
        </right>
        <top/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relativeIndent="0" justifyLastLine="0" shrinkToFit="0" mergeCell="0" readingOrder="0"/>
    </dxf>
    <dxf>
      <border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color theme="0"/>
      </font>
    </dxf>
    <dxf>
      <font>
        <color theme="0"/>
      </font>
    </dxf>
    <dxf>
      <font>
        <b/>
        <i val="0"/>
        <color rgb="FF33CC33"/>
      </font>
    </dxf>
    <dxf>
      <font>
        <b/>
        <i val="0"/>
        <u/>
        <color rgb="FF00B050"/>
      </font>
    </dxf>
    <dxf>
      <font>
        <b/>
        <i val="0"/>
        <color rgb="FF00B050"/>
      </font>
    </dxf>
    <dxf>
      <font>
        <b/>
        <i val="0"/>
        <color theme="5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/>
        <u/>
        <color rgb="FF00B05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4"/>
          </stop>
        </gradientFill>
      </fill>
    </dxf>
    <dxf>
      <fill>
        <patternFill>
          <bgColor theme="4" tint="0.59996337778862885"/>
        </patternFill>
      </fill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0" justifyLastLine="0" shrinkToFit="0" mergeCell="0" readingOrder="0"/>
    </dxf>
    <dxf>
      <numFmt numFmtId="180" formatCode="&quot;€&quot;#,##0.00"/>
    </dxf>
    <dxf>
      <numFmt numFmtId="180" formatCode="&quot;€&quot;#,##0.00"/>
    </dxf>
    <dxf>
      <numFmt numFmtId="1" formatCode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left" vertical="bottom" textRotation="0" wrapText="0" indent="0" relativeIndent="255" justifyLastLine="0" shrinkToFit="1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" formatCode="0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numFmt numFmtId="19" formatCode="dd/mm/yyyy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mergeCell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255" justifyLastLine="0" shrinkToFit="1" mergeCell="0" readingOrder="0"/>
    </dxf>
    <dxf>
      <numFmt numFmtId="2" formatCode="0.00"/>
      <alignment horizontal="center" vertical="bottom" textRotation="0" wrapText="0" indent="0" relativeIndent="0" justifyLastLine="0" shrinkToFit="0" readingOrder="0"/>
    </dxf>
    <dxf>
      <numFmt numFmtId="2" formatCode="0.00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70" formatCode="#,##0.00\ &quot;€&quot;"/>
      <alignment horizontal="center" vertical="bottom" textRotation="0" wrapText="0" indent="0" relativeIndent="0" justifyLastLine="0" shrinkToFit="0" readingOrder="0"/>
    </dxf>
    <dxf>
      <numFmt numFmtId="1" formatCode="0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87" formatCode="0.0000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19" formatCode="dd/mm/yyyy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0" justifyLastLine="0" shrinkToFit="0" readingOrder="0"/>
    </dxf>
    <dxf>
      <numFmt numFmtId="170" formatCode="#,##0.00\ &quot;€&quot;"/>
      <alignment horizontal="center" vertical="center" textRotation="0" wrapText="0" indent="0" relativeIndent="0" justifyLastLine="0" shrinkToFit="0" mergeCell="0" readingOrder="0"/>
    </dxf>
    <dxf>
      <numFmt numFmtId="170" formatCode="#,##0.00\ &quot;€&quot;"/>
      <alignment horizontal="center" vertical="center" textRotation="0" wrapText="0" indent="0" relativeIndent="0" justifyLastLine="0" shrinkToFit="0" mergeCell="0" readingOrder="0"/>
    </dxf>
    <dxf>
      <numFmt numFmtId="170" formatCode="#,##0.00\ &quot;€&quot;"/>
      <alignment horizontal="center" vertical="center" textRotation="0" wrapText="0" indent="0" relativeIndent="0" justifyLastLine="0" shrinkToFit="0" mergeCell="0" readingOrder="0"/>
    </dxf>
    <dxf>
      <numFmt numFmtId="170" formatCode="#,##0.00\ &quot;€&quot;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" formatCode="0"/>
      <alignment horizontal="right" vertical="center" textRotation="0" wrapText="0" indent="0" relativeIndent="0" justifyLastLine="0" shrinkToFit="0" readingOrder="0"/>
    </dxf>
    <dxf>
      <numFmt numFmtId="170" formatCode="#,##0.00\ &quot;€&quot;"/>
      <alignment horizontal="right" vertical="center" textRotation="0" wrapText="0" indent="0" relativeIndent="0" justifyLastLine="0" shrinkToFit="0" readingOrder="0"/>
    </dxf>
    <dxf>
      <numFmt numFmtId="1" formatCode="0"/>
      <alignment horizontal="center" vertical="center" textRotation="0" wrapText="0" indent="0" relativeIndent="0" justifyLastLine="0" shrinkToFit="0" readingOrder="0"/>
    </dxf>
    <dxf>
      <numFmt numFmtId="30" formatCode="@"/>
      <alignment horizontal="left" vertical="center" textRotation="0" wrapText="0" indent="0" relativeIndent="255" justifyLastLine="0" shrinkToFit="0" readingOrder="0"/>
    </dxf>
    <dxf>
      <numFmt numFmtId="30" formatCode="@"/>
      <alignment horizontal="center" vertical="center" textRotation="0" wrapText="0" indent="0" relativeIndent="0" justifyLastLine="0" shrinkToFit="0" readingOrder="0"/>
    </dxf>
    <dxf>
      <numFmt numFmtId="1" formatCode="0"/>
      <alignment horizontal="center" vertical="center" textRotation="0" wrapText="0" indent="0" relativeIndent="0" justifyLastLine="0" shrinkToFit="0" readingOrder="0"/>
    </dxf>
    <dxf>
      <alignment horizontal="center" vertical="center" textRotation="0" wrapText="0" inden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relativeIndent="255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numFmt numFmtId="30" formatCode="@"/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indent="0" relativeIndent="0" justifyLastLine="0" shrinkToFit="0" readingOrder="0"/>
    </dxf>
    <dxf>
      <alignment horizontal="left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left" vertical="bottom" textRotation="0" wrapText="0" indent="0" relativeIndent="0" justifyLastLine="0" shrinkToFit="0" readingOrder="0"/>
    </dxf>
    <dxf>
      <alignment horizontal="center" vertical="bottom" textRotation="0" wrapText="0" indent="0" relativeIndent="0" justifyLastLine="0" shrinkToFit="0" readingOrder="0"/>
    </dxf>
    <dxf>
      <alignment horizontal="center" vertical="center"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bottom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relativeIndent="255" justifyLastLine="0" shrinkToFit="0" readingOrder="0"/>
    </dxf>
  </dxfs>
  <tableStyles count="0" defaultTableStyle="TableStyleMedium9" defaultPivotStyle="PivotStyleLight16"/>
  <colors>
    <mruColors>
      <color rgb="FF33CC33"/>
      <color rgb="FFDAA600"/>
      <color rgb="FFCC0099"/>
      <color rgb="FF660066"/>
      <color rgb="FF9900CC"/>
      <color rgb="FF80008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oppo1896shop.it/chi-siamo" TargetMode="External"/><Relationship Id="rId2" Type="http://schemas.openxmlformats.org/officeDocument/2006/relationships/image" Target="../media/image6.png"/><Relationship Id="rId1" Type="http://schemas.openxmlformats.org/officeDocument/2006/relationships/hyperlink" Target="https://bhpcfragrance.com/" TargetMode="External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31748</xdr:colOff>
      <xdr:row>0</xdr:row>
      <xdr:rowOff>28576</xdr:rowOff>
    </xdr:from>
    <xdr:to>
      <xdr:col>6</xdr:col>
      <xdr:colOff>542925</xdr:colOff>
      <xdr:row>6</xdr:row>
      <xdr:rowOff>155375</xdr:rowOff>
    </xdr:to>
    <xdr:pic>
      <xdr:nvPicPr>
        <xdr:cNvPr id="3" name="logoCoppo" descr="Logo Coppo lungo.JPG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1748" y="28576"/>
          <a:ext cx="5054602" cy="12031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203197</xdr:colOff>
      <xdr:row>0</xdr:row>
      <xdr:rowOff>19051</xdr:rowOff>
    </xdr:from>
    <xdr:to>
      <xdr:col>6</xdr:col>
      <xdr:colOff>428625</xdr:colOff>
      <xdr:row>6</xdr:row>
      <xdr:rowOff>136687</xdr:rowOff>
    </xdr:to>
    <xdr:pic>
      <xdr:nvPicPr>
        <xdr:cNvPr id="2" name="logoCoppo" descr="Logo Coppo lungo.JPG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3197" y="19051"/>
          <a:ext cx="4768853" cy="10891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107947</xdr:colOff>
      <xdr:row>0</xdr:row>
      <xdr:rowOff>19051</xdr:rowOff>
    </xdr:from>
    <xdr:to>
      <xdr:col>5</xdr:col>
      <xdr:colOff>152400</xdr:colOff>
      <xdr:row>6</xdr:row>
      <xdr:rowOff>141129</xdr:rowOff>
    </xdr:to>
    <xdr:pic>
      <xdr:nvPicPr>
        <xdr:cNvPr id="3" name="logoCoppo" descr="Logo Coppo lungo.JPG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7947" y="19051"/>
          <a:ext cx="4845053" cy="10936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22222</xdr:colOff>
      <xdr:row>0</xdr:row>
      <xdr:rowOff>19050</xdr:rowOff>
    </xdr:from>
    <xdr:to>
      <xdr:col>5</xdr:col>
      <xdr:colOff>32211</xdr:colOff>
      <xdr:row>6</xdr:row>
      <xdr:rowOff>133349</xdr:rowOff>
    </xdr:to>
    <xdr:pic>
      <xdr:nvPicPr>
        <xdr:cNvPr id="2" name="logoCoppo" descr="Logo Coppo lungo.JPG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22" y="19050"/>
          <a:ext cx="4810589" cy="108584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98422</xdr:colOff>
      <xdr:row>0</xdr:row>
      <xdr:rowOff>19050</xdr:rowOff>
    </xdr:from>
    <xdr:to>
      <xdr:col>6</xdr:col>
      <xdr:colOff>523875</xdr:colOff>
      <xdr:row>6</xdr:row>
      <xdr:rowOff>140898</xdr:rowOff>
    </xdr:to>
    <xdr:pic>
      <xdr:nvPicPr>
        <xdr:cNvPr id="3" name="logoCoppo" descr="Logo Coppo lungo.JPG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8422" y="19050"/>
          <a:ext cx="5026028" cy="1093398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</xdr:colOff>
      <xdr:row>58</xdr:row>
      <xdr:rowOff>47625</xdr:rowOff>
    </xdr:from>
    <xdr:to>
      <xdr:col>9</xdr:col>
      <xdr:colOff>581025</xdr:colOff>
      <xdr:row>63</xdr:row>
      <xdr:rowOff>145062</xdr:rowOff>
    </xdr:to>
    <xdr:pic>
      <xdr:nvPicPr>
        <xdr:cNvPr id="4" name="Immagine 3" descr="Firma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267325" y="10991850"/>
          <a:ext cx="1828800" cy="104993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98422</xdr:colOff>
      <xdr:row>0</xdr:row>
      <xdr:rowOff>19050</xdr:rowOff>
    </xdr:from>
    <xdr:to>
      <xdr:col>6</xdr:col>
      <xdr:colOff>514350</xdr:colOff>
      <xdr:row>6</xdr:row>
      <xdr:rowOff>138826</xdr:rowOff>
    </xdr:to>
    <xdr:pic>
      <xdr:nvPicPr>
        <xdr:cNvPr id="3" name="logoCoppo" descr="Logo Coppo lungo.JPG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8422" y="19050"/>
          <a:ext cx="5016503" cy="1091326"/>
        </a:xfrm>
        <a:prstGeom prst="rect">
          <a:avLst/>
        </a:prstGeom>
      </xdr:spPr>
    </xdr:pic>
    <xdr:clientData/>
  </xdr:twoCellAnchor>
  <xdr:twoCellAnchor editAs="oneCell">
    <xdr:from>
      <xdr:col>6</xdr:col>
      <xdr:colOff>552450</xdr:colOff>
      <xdr:row>112</xdr:row>
      <xdr:rowOff>57686</xdr:rowOff>
    </xdr:from>
    <xdr:to>
      <xdr:col>9</xdr:col>
      <xdr:colOff>466725</xdr:colOff>
      <xdr:row>117</xdr:row>
      <xdr:rowOff>183698</xdr:rowOff>
    </xdr:to>
    <xdr:pic>
      <xdr:nvPicPr>
        <xdr:cNvPr id="7" name="Immagine 6" descr="Firma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153025" y="21184136"/>
          <a:ext cx="1828800" cy="104993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0</xdr:row>
      <xdr:rowOff>38100</xdr:rowOff>
    </xdr:from>
    <xdr:to>
      <xdr:col>22</xdr:col>
      <xdr:colOff>200025</xdr:colOff>
      <xdr:row>7</xdr:row>
      <xdr:rowOff>152400</xdr:rowOff>
    </xdr:to>
    <xdr:sp macro="" textlink="">
      <xdr:nvSpPr>
        <xdr:cNvPr id="102" name="rettangolo_filtri"/>
        <xdr:cNvSpPr/>
      </xdr:nvSpPr>
      <xdr:spPr>
        <a:xfrm>
          <a:off x="13068300" y="38100"/>
          <a:ext cx="4591050" cy="11620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>
    <xdr:from>
      <xdr:col>44</xdr:col>
      <xdr:colOff>31750</xdr:colOff>
      <xdr:row>29</xdr:row>
      <xdr:rowOff>12700</xdr:rowOff>
    </xdr:from>
    <xdr:to>
      <xdr:col>44</xdr:col>
      <xdr:colOff>88900</xdr:colOff>
      <xdr:row>30</xdr:row>
      <xdr:rowOff>182200</xdr:rowOff>
    </xdr:to>
    <xdr:sp macro="" textlink="">
      <xdr:nvSpPr>
        <xdr:cNvPr id="11" name="graphDgn">
          <a:extLst>
            <a:ext uri="{FF2B5EF4-FFF2-40B4-BE49-F238E27FC236}">
              <a16:creationId xmlns="" xmlns:a16="http://schemas.microsoft.com/office/drawing/2014/main" id="{00000000-0008-0000-0F00-00000B000000}"/>
            </a:ext>
          </a:extLst>
        </xdr:cNvPr>
        <xdr:cNvSpPr/>
      </xdr:nvSpPr>
      <xdr:spPr>
        <a:xfrm>
          <a:off x="4057650" y="5422900"/>
          <a:ext cx="57150" cy="360000"/>
        </a:xfrm>
        <a:prstGeom prst="rightBrace">
          <a:avLst/>
        </a:prstGeom>
        <a:ln w="9525">
          <a:solidFill>
            <a:schemeClr val="accent5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absolute">
    <xdr:from>
      <xdr:col>3</xdr:col>
      <xdr:colOff>147088</xdr:colOff>
      <xdr:row>15</xdr:row>
      <xdr:rowOff>184743</xdr:rowOff>
    </xdr:from>
    <xdr:to>
      <xdr:col>3</xdr:col>
      <xdr:colOff>1505989</xdr:colOff>
      <xdr:row>18</xdr:row>
      <xdr:rowOff>148358</xdr:rowOff>
    </xdr:to>
    <xdr:sp macro="[0]!showClientTab" textlink="">
      <xdr:nvSpPr>
        <xdr:cNvPr id="16" name="backArrow" hidden="1">
          <a:extLst>
            <a:ext uri="{FF2B5EF4-FFF2-40B4-BE49-F238E27FC236}">
              <a16:creationId xmlns="" xmlns:a16="http://schemas.microsoft.com/office/drawing/2014/main" id="{00000000-0008-0000-0F00-000010000000}"/>
            </a:ext>
          </a:extLst>
        </xdr:cNvPr>
        <xdr:cNvSpPr/>
      </xdr:nvSpPr>
      <xdr:spPr>
        <a:xfrm>
          <a:off x="397933" y="2589683"/>
          <a:ext cx="1351492" cy="54146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it-IT" sz="1100"/>
        </a:p>
      </xdr:txBody>
    </xdr:sp>
    <xdr:clientData/>
  </xdr:twoCellAnchor>
  <xdr:twoCellAnchor editAs="oneCell">
    <xdr:from>
      <xdr:col>52</xdr:col>
      <xdr:colOff>44044</xdr:colOff>
      <xdr:row>8</xdr:row>
      <xdr:rowOff>12453</xdr:rowOff>
    </xdr:from>
    <xdr:to>
      <xdr:col>54</xdr:col>
      <xdr:colOff>140959</xdr:colOff>
      <xdr:row>16</xdr:row>
      <xdr:rowOff>454</xdr:rowOff>
    </xdr:to>
    <xdr:pic>
      <xdr:nvPicPr>
        <xdr:cNvPr id="32" name="bhpc_logo" descr="bhpc logo-Photoroom.png-Photoroom.png" hidden="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089744" y="1492003"/>
          <a:ext cx="1401839" cy="1483426"/>
        </a:xfrm>
        <a:prstGeom prst="rect">
          <a:avLst/>
        </a:prstGeom>
      </xdr:spPr>
    </xdr:pic>
    <xdr:clientData/>
  </xdr:twoCellAnchor>
  <xdr:twoCellAnchor>
    <xdr:from>
      <xdr:col>40</xdr:col>
      <xdr:colOff>44450</xdr:colOff>
      <xdr:row>47</xdr:row>
      <xdr:rowOff>38100</xdr:rowOff>
    </xdr:from>
    <xdr:to>
      <xdr:col>41</xdr:col>
      <xdr:colOff>63500</xdr:colOff>
      <xdr:row>58</xdr:row>
      <xdr:rowOff>130175</xdr:rowOff>
    </xdr:to>
    <xdr:sp macro="" textlink="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F00-000026000000}"/>
            </a:ext>
          </a:extLst>
        </xdr:cNvPr>
        <xdr:cNvSpPr txBox="1"/>
      </xdr:nvSpPr>
      <xdr:spPr>
        <a:xfrm>
          <a:off x="222250" y="8813800"/>
          <a:ext cx="1885950" cy="2117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it-IT" sz="1100"/>
            <a:t>Per il label da attaccare ai pallet si può:</a:t>
          </a:r>
        </a:p>
        <a:p>
          <a:endParaRPr lang="it-IT" sz="1100"/>
        </a:p>
        <a:p>
          <a:r>
            <a:rPr lang="it-IT" sz="1100"/>
            <a:t>Fare in modo che la crei da solo excel</a:t>
          </a:r>
        </a:p>
        <a:p>
          <a:endParaRPr lang="it-IT" sz="1100"/>
        </a:p>
        <a:p>
          <a:r>
            <a:rPr lang="it-IT" sz="1100"/>
            <a:t>Crearla a mano e poi inserire il link sul CRM BHPC in modo che la vada a recuperare</a:t>
          </a:r>
          <a:r>
            <a:rPr lang="it-IT" sz="1100" baseline="0"/>
            <a:t> e la stampi. FORMATO POWERPOINT</a:t>
          </a:r>
          <a:endParaRPr lang="it-IT" sz="1100"/>
        </a:p>
      </xdr:txBody>
    </xdr:sp>
    <xdr:clientData/>
  </xdr:twoCellAnchor>
  <xdr:twoCellAnchor editAs="oneCell">
    <xdr:from>
      <xdr:col>1</xdr:col>
      <xdr:colOff>1</xdr:colOff>
      <xdr:row>0</xdr:row>
      <xdr:rowOff>1</xdr:rowOff>
    </xdr:from>
    <xdr:to>
      <xdr:col>4</xdr:col>
      <xdr:colOff>14655</xdr:colOff>
      <xdr:row>5</xdr:row>
      <xdr:rowOff>98030</xdr:rowOff>
    </xdr:to>
    <xdr:pic>
      <xdr:nvPicPr>
        <xdr:cNvPr id="36" name="logoCoppo" descr="logo coppo-Photoroom.png-Photoroom.png" hidden="1">
          <a:hlinkClick xmlns:r="http://schemas.openxmlformats.org/officeDocument/2006/relationships" r:id="rId3"/>
          <a:extLst>
            <a:ext uri="{FF2B5EF4-FFF2-40B4-BE49-F238E27FC236}">
              <a16:creationId xmlns=""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" y="1"/>
          <a:ext cx="2017346" cy="660248"/>
        </a:xfrm>
        <a:prstGeom prst="rect">
          <a:avLst/>
        </a:prstGeom>
      </xdr:spPr>
    </xdr:pic>
    <xdr:clientData/>
  </xdr:twoCellAnchor>
  <xdr:twoCellAnchor editAs="oneCell">
    <xdr:from>
      <xdr:col>49</xdr:col>
      <xdr:colOff>27751</xdr:colOff>
      <xdr:row>32</xdr:row>
      <xdr:rowOff>145807</xdr:rowOff>
    </xdr:from>
    <xdr:to>
      <xdr:col>60</xdr:col>
      <xdr:colOff>2353731</xdr:colOff>
      <xdr:row>39</xdr:row>
      <xdr:rowOff>15517</xdr:rowOff>
    </xdr:to>
    <xdr:grpSp>
      <xdr:nvGrpSpPr>
        <xdr:cNvPr id="60" name="statusBar" hidden="1">
          <a:extLst>
            <a:ext uri="{FF2B5EF4-FFF2-40B4-BE49-F238E27FC236}">
              <a16:creationId xmlns="" xmlns:a16="http://schemas.microsoft.com/office/drawing/2014/main" id="{00000000-0008-0000-0F00-00003C000000}"/>
            </a:ext>
          </a:extLst>
        </xdr:cNvPr>
        <xdr:cNvGrpSpPr/>
      </xdr:nvGrpSpPr>
      <xdr:grpSpPr>
        <a:xfrm>
          <a:off x="34974976" y="5879857"/>
          <a:ext cx="9965030" cy="1203210"/>
          <a:chOff x="6605709" y="6356352"/>
          <a:chExt cx="10282202" cy="1192098"/>
        </a:xfrm>
      </xdr:grpSpPr>
      <xdr:sp macro="[0]!setStatus1" textlink="">
        <xdr:nvSpPr>
          <xdr:cNvPr id="41" name="confirmed" hidden="1">
            <a:extLst>
              <a:ext uri="{FF2B5EF4-FFF2-40B4-BE49-F238E27FC236}">
                <a16:creationId xmlns="" xmlns:a16="http://schemas.microsoft.com/office/drawing/2014/main" id="{00000000-0008-0000-0F00-000029000000}"/>
              </a:ext>
            </a:extLst>
          </xdr:cNvPr>
          <xdr:cNvSpPr/>
        </xdr:nvSpPr>
        <xdr:spPr>
          <a:xfrm>
            <a:off x="6605709" y="6356352"/>
            <a:ext cx="867175" cy="1192098"/>
          </a:xfrm>
          <a:prstGeom prst="homePlate">
            <a:avLst>
              <a:gd name="adj" fmla="val 28771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000" b="1"/>
              <a:t>Order </a:t>
            </a:r>
          </a:p>
          <a:p>
            <a:pPr algn="ctr"/>
            <a:r>
              <a:rPr lang="it-IT" sz="1000" b="1"/>
              <a:t>Confirmed</a:t>
            </a:r>
          </a:p>
        </xdr:txBody>
      </xdr:sp>
      <xdr:sp macro="[0]!setStatus2" textlink="">
        <xdr:nvSpPr>
          <xdr:cNvPr id="42" name="warehouseAvailability" hidden="1">
            <a:extLst>
              <a:ext uri="{FF2B5EF4-FFF2-40B4-BE49-F238E27FC236}">
                <a16:creationId xmlns="" xmlns:a16="http://schemas.microsoft.com/office/drawing/2014/main" id="{00000000-0008-0000-0F00-00002A000000}"/>
              </a:ext>
            </a:extLst>
          </xdr:cNvPr>
          <xdr:cNvSpPr/>
        </xdr:nvSpPr>
        <xdr:spPr>
          <a:xfrm>
            <a:off x="7249964" y="6356352"/>
            <a:ext cx="1260000" cy="1192098"/>
          </a:xfrm>
          <a:prstGeom prst="chevron">
            <a:avLst>
              <a:gd name="adj" fmla="val 20712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Products Available in Warehouse</a:t>
            </a:r>
          </a:p>
        </xdr:txBody>
      </xdr:sp>
      <xdr:sp macro="[0]!setStatusPayed" textlink="">
        <xdr:nvSpPr>
          <xdr:cNvPr id="52" name="payment" hidden="1">
            <a:extLst>
              <a:ext uri="{FF2B5EF4-FFF2-40B4-BE49-F238E27FC236}">
                <a16:creationId xmlns="" xmlns:a16="http://schemas.microsoft.com/office/drawing/2014/main" id="{00000000-0008-0000-0F00-000034000000}"/>
              </a:ext>
            </a:extLst>
          </xdr:cNvPr>
          <xdr:cNvSpPr/>
        </xdr:nvSpPr>
        <xdr:spPr>
          <a:xfrm>
            <a:off x="9256509" y="6356352"/>
            <a:ext cx="1296000" cy="1192098"/>
          </a:xfrm>
          <a:prstGeom prst="chevron">
            <a:avLst>
              <a:gd name="adj" fmla="val 21378"/>
            </a:avLst>
          </a:prstGeom>
          <a:solidFill>
            <a:srgbClr val="5B9BD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Payment Received!</a:t>
            </a:r>
          </a:p>
        </xdr:txBody>
      </xdr:sp>
      <xdr:sp macro="[0]!setStatus3" textlink="">
        <xdr:nvSpPr>
          <xdr:cNvPr id="53" name="pallet" hidden="1">
            <a:extLst>
              <a:ext uri="{FF2B5EF4-FFF2-40B4-BE49-F238E27FC236}">
                <a16:creationId xmlns="" xmlns:a16="http://schemas.microsoft.com/office/drawing/2014/main" id="{00000000-0008-0000-0F00-000035000000}"/>
              </a:ext>
            </a:extLst>
          </xdr:cNvPr>
          <xdr:cNvSpPr/>
        </xdr:nvSpPr>
        <xdr:spPr>
          <a:xfrm>
            <a:off x="8289748" y="6356352"/>
            <a:ext cx="1188000" cy="1192098"/>
          </a:xfrm>
          <a:prstGeom prst="chevron">
            <a:avLst>
              <a:gd name="adj" fmla="val 20710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Pallet Ready</a:t>
            </a:r>
          </a:p>
        </xdr:txBody>
      </xdr:sp>
      <xdr:sp macro="[0]!setStatus4" textlink="">
        <xdr:nvSpPr>
          <xdr:cNvPr id="54" name="transport" hidden="1">
            <a:extLst>
              <a:ext uri="{FF2B5EF4-FFF2-40B4-BE49-F238E27FC236}">
                <a16:creationId xmlns="" xmlns:a16="http://schemas.microsoft.com/office/drawing/2014/main" id="{00000000-0008-0000-0F00-000036000000}"/>
              </a:ext>
            </a:extLst>
          </xdr:cNvPr>
          <xdr:cNvSpPr/>
        </xdr:nvSpPr>
        <xdr:spPr>
          <a:xfrm>
            <a:off x="10315353" y="6356352"/>
            <a:ext cx="1152000" cy="1192098"/>
          </a:xfrm>
          <a:prstGeom prst="chevron">
            <a:avLst>
              <a:gd name="adj" fmla="val 22044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Carrier Found</a:t>
            </a:r>
          </a:p>
        </xdr:txBody>
      </xdr:sp>
      <xdr:sp macro="[0]!setStatus5" textlink="">
        <xdr:nvSpPr>
          <xdr:cNvPr id="55" name="docs" hidden="1">
            <a:extLst>
              <a:ext uri="{FF2B5EF4-FFF2-40B4-BE49-F238E27FC236}">
                <a16:creationId xmlns="" xmlns:a16="http://schemas.microsoft.com/office/drawing/2014/main" id="{00000000-0008-0000-0F00-000037000000}"/>
              </a:ext>
            </a:extLst>
          </xdr:cNvPr>
          <xdr:cNvSpPr/>
        </xdr:nvSpPr>
        <xdr:spPr>
          <a:xfrm>
            <a:off x="11242425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Documents Ready</a:t>
            </a:r>
          </a:p>
        </xdr:txBody>
      </xdr:sp>
      <xdr:sp macro="[0]!setStatus6" textlink="">
        <xdr:nvSpPr>
          <xdr:cNvPr id="56" name="allReady" hidden="1">
            <a:extLst>
              <a:ext uri="{FF2B5EF4-FFF2-40B4-BE49-F238E27FC236}">
                <a16:creationId xmlns="" xmlns:a16="http://schemas.microsoft.com/office/drawing/2014/main" id="{00000000-0008-0000-0F00-000038000000}"/>
              </a:ext>
            </a:extLst>
          </xdr:cNvPr>
          <xdr:cNvSpPr/>
        </xdr:nvSpPr>
        <xdr:spPr>
          <a:xfrm>
            <a:off x="12271103" y="6356352"/>
            <a:ext cx="1260000" cy="1192098"/>
          </a:xfrm>
          <a:prstGeom prst="chevron">
            <a:avLst>
              <a:gd name="adj" fmla="val 21378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All</a:t>
            </a:r>
            <a:r>
              <a:rPr lang="it-IT" sz="1100" b="1" u="sng" baseline="0">
                <a:solidFill>
                  <a:srgbClr val="FFFF00"/>
                </a:solidFill>
              </a:rPr>
              <a:t> Ready!</a:t>
            </a:r>
            <a:endParaRPr lang="it-IT" sz="1100" b="1" u="sng">
              <a:solidFill>
                <a:srgbClr val="FFFF00"/>
              </a:solidFill>
            </a:endParaRPr>
          </a:p>
        </xdr:txBody>
      </xdr:sp>
      <xdr:sp macro="[0]!setStatus7" textlink="">
        <xdr:nvSpPr>
          <xdr:cNvPr id="57" name="shipped" hidden="1">
            <a:extLst>
              <a:ext uri="{FF2B5EF4-FFF2-40B4-BE49-F238E27FC236}">
                <a16:creationId xmlns="" xmlns:a16="http://schemas.microsoft.com/office/drawing/2014/main" id="{00000000-0008-0000-0F00-000039000000}"/>
              </a:ext>
            </a:extLst>
          </xdr:cNvPr>
          <xdr:cNvSpPr/>
        </xdr:nvSpPr>
        <xdr:spPr>
          <a:xfrm>
            <a:off x="13310894" y="6357146"/>
            <a:ext cx="1152000" cy="1190511"/>
          </a:xfrm>
          <a:prstGeom prst="chevron">
            <a:avLst>
              <a:gd name="adj" fmla="val 21373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Shipped</a:t>
            </a:r>
          </a:p>
        </xdr:txBody>
      </xdr:sp>
      <xdr:sp macro="[0]!setStatus8" textlink="">
        <xdr:nvSpPr>
          <xdr:cNvPr id="58" name="delivered" hidden="1">
            <a:extLst>
              <a:ext uri="{FF2B5EF4-FFF2-40B4-BE49-F238E27FC236}">
                <a16:creationId xmlns="" xmlns:a16="http://schemas.microsoft.com/office/drawing/2014/main" id="{00000000-0008-0000-0F00-00003A000000}"/>
              </a:ext>
            </a:extLst>
          </xdr:cNvPr>
          <xdr:cNvSpPr/>
        </xdr:nvSpPr>
        <xdr:spPr>
          <a:xfrm>
            <a:off x="14236544" y="6358401"/>
            <a:ext cx="1224000" cy="1190016"/>
          </a:xfrm>
          <a:prstGeom prst="chevron">
            <a:avLst>
              <a:gd name="adj" fmla="val 19747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/>
              <a:t>Delivered</a:t>
            </a:r>
          </a:p>
        </xdr:txBody>
      </xdr:sp>
      <xdr:sp macro="[0]!setStatus9" textlink="">
        <xdr:nvSpPr>
          <xdr:cNvPr id="59" name="closed" hidden="1">
            <a:extLst>
              <a:ext uri="{FF2B5EF4-FFF2-40B4-BE49-F238E27FC236}">
                <a16:creationId xmlns="" xmlns:a16="http://schemas.microsoft.com/office/drawing/2014/main" id="{00000000-0008-0000-0F00-00003B000000}"/>
              </a:ext>
            </a:extLst>
          </xdr:cNvPr>
          <xdr:cNvSpPr/>
        </xdr:nvSpPr>
        <xdr:spPr>
          <a:xfrm>
            <a:off x="15235052" y="6356601"/>
            <a:ext cx="1652859" cy="1191600"/>
          </a:xfrm>
          <a:prstGeom prst="chevron">
            <a:avLst>
              <a:gd name="adj" fmla="val 21357"/>
            </a:avLst>
          </a:prstGeom>
          <a:solidFill>
            <a:srgbClr val="548235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u="sng">
                <a:solidFill>
                  <a:srgbClr val="FFFF00"/>
                </a:solidFill>
              </a:rPr>
              <a:t>Closed</a:t>
            </a:r>
            <a:endParaRPr lang="it-IT" sz="900" b="1" u="sng">
              <a:solidFill>
                <a:srgbClr val="FFFF00"/>
              </a:solidFill>
            </a:endParaRPr>
          </a:p>
        </xdr:txBody>
      </xdr:sp>
    </xdr:grpSp>
    <xdr:clientData/>
  </xdr:twoCellAnchor>
  <xdr:twoCellAnchor>
    <xdr:from>
      <xdr:col>77</xdr:col>
      <xdr:colOff>244556</xdr:colOff>
      <xdr:row>4</xdr:row>
      <xdr:rowOff>63114</xdr:rowOff>
    </xdr:from>
    <xdr:to>
      <xdr:col>79</xdr:col>
      <xdr:colOff>326830</xdr:colOff>
      <xdr:row>6</xdr:row>
      <xdr:rowOff>101365</xdr:rowOff>
    </xdr:to>
    <xdr:grpSp>
      <xdr:nvGrpSpPr>
        <xdr:cNvPr id="48" name="product_order_panel">
          <a:extLst>
            <a:ext uri="{FF2B5EF4-FFF2-40B4-BE49-F238E27FC236}">
              <a16:creationId xmlns="" xmlns:a16="http://schemas.microsoft.com/office/drawing/2014/main" id="{00000000-0008-0000-0F00-000030000000}"/>
            </a:ext>
          </a:extLst>
        </xdr:cNvPr>
        <xdr:cNvGrpSpPr/>
      </xdr:nvGrpSpPr>
      <xdr:grpSpPr>
        <a:xfrm>
          <a:off x="63881081" y="558414"/>
          <a:ext cx="4720949" cy="324001"/>
          <a:chOff x="2467055" y="804331"/>
          <a:chExt cx="4455562" cy="322396"/>
        </a:xfrm>
      </xdr:grpSpPr>
      <xdr:sp macro="[0]!updateOrderContent" textlink="">
        <xdr:nvSpPr>
          <xdr:cNvPr id="39" name="updateOrderContent" hidden="1">
            <a:extLst>
              <a:ext uri="{FF2B5EF4-FFF2-40B4-BE49-F238E27FC236}">
                <a16:creationId xmlns="" xmlns:a16="http://schemas.microsoft.com/office/drawing/2014/main" id="{00000000-0008-0000-0F00-000027000000}"/>
              </a:ext>
            </a:extLst>
          </xdr:cNvPr>
          <xdr:cNvSpPr/>
        </xdr:nvSpPr>
        <xdr:spPr>
          <a:xfrm>
            <a:off x="2467055" y="804331"/>
            <a:ext cx="1440000" cy="32239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BASKET</a:t>
            </a:r>
          </a:p>
        </xdr:txBody>
      </xdr:sp>
      <xdr:sp macro="[0]!emptyOrderContent" textlink="">
        <xdr:nvSpPr>
          <xdr:cNvPr id="46" name="updateOrderContent">
            <a:extLst>
              <a:ext uri="{FF2B5EF4-FFF2-40B4-BE49-F238E27FC236}">
                <a16:creationId xmlns="" xmlns:a16="http://schemas.microsoft.com/office/drawing/2014/main" id="{00000000-0008-0000-0F00-00002E000000}"/>
              </a:ext>
            </a:extLst>
          </xdr:cNvPr>
          <xdr:cNvSpPr/>
        </xdr:nvSpPr>
        <xdr:spPr>
          <a:xfrm>
            <a:off x="3974836" y="804331"/>
            <a:ext cx="1440000" cy="32239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EMPTY BASKET</a:t>
            </a:r>
          </a:p>
        </xdr:txBody>
      </xdr:sp>
      <xdr:sp macro="[0]!printUsrFormLauncher" textlink="">
        <xdr:nvSpPr>
          <xdr:cNvPr id="73" name="updateOrderContent">
            <a:extLst>
              <a:ext uri="{FF2B5EF4-FFF2-40B4-BE49-F238E27FC236}">
                <a16:creationId xmlns="" xmlns:a16="http://schemas.microsoft.com/office/drawing/2014/main" id="{00000000-0008-0000-0F00-00002E000000}"/>
              </a:ext>
            </a:extLst>
          </xdr:cNvPr>
          <xdr:cNvSpPr/>
        </xdr:nvSpPr>
        <xdr:spPr>
          <a:xfrm>
            <a:off x="5482617" y="804332"/>
            <a:ext cx="1440000" cy="322395"/>
          </a:xfrm>
          <a:prstGeom prst="roundRect">
            <a:avLst/>
          </a:prstGeom>
          <a:solidFill>
            <a:schemeClr val="bg2">
              <a:lumMod val="50000"/>
            </a:schemeClr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</a:t>
            </a:r>
            <a:r>
              <a:rPr lang="it-IT" sz="1100" b="1" baseline="0">
                <a:solidFill>
                  <a:schemeClr val="bg1"/>
                </a:solidFill>
              </a:rPr>
              <a:t> ORDER'S DOCS</a:t>
            </a:r>
            <a:endParaRPr lang="it-IT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5</xdr:col>
      <xdr:colOff>149305</xdr:colOff>
      <xdr:row>4</xdr:row>
      <xdr:rowOff>49738</xdr:rowOff>
    </xdr:from>
    <xdr:to>
      <xdr:col>11</xdr:col>
      <xdr:colOff>1672166</xdr:colOff>
      <xdr:row>6</xdr:row>
      <xdr:rowOff>87988</xdr:rowOff>
    </xdr:to>
    <xdr:grpSp>
      <xdr:nvGrpSpPr>
        <xdr:cNvPr id="51" name="dashboard_order_control_panel">
          <a:extLst>
            <a:ext uri="{FF2B5EF4-FFF2-40B4-BE49-F238E27FC236}">
              <a16:creationId xmlns="" xmlns:a16="http://schemas.microsoft.com/office/drawing/2014/main" id="{00000000-0008-0000-0F00-000033000000}"/>
            </a:ext>
          </a:extLst>
        </xdr:cNvPr>
        <xdr:cNvGrpSpPr/>
      </xdr:nvGrpSpPr>
      <xdr:grpSpPr>
        <a:xfrm>
          <a:off x="2301955" y="545038"/>
          <a:ext cx="5018536" cy="324000"/>
          <a:chOff x="2469942" y="846666"/>
          <a:chExt cx="4485863" cy="325155"/>
        </a:xfrm>
      </xdr:grpSpPr>
      <xdr:sp macro="[0]!neworderUsrFormLauncher" textlink="">
        <xdr:nvSpPr>
          <xdr:cNvPr id="35" name="newOrder">
            <a:extLst>
              <a:ext uri="{FF2B5EF4-FFF2-40B4-BE49-F238E27FC236}">
                <a16:creationId xmlns="" xmlns:a16="http://schemas.microsoft.com/office/drawing/2014/main" id="{00000000-0008-0000-0F00-000023000000}"/>
              </a:ext>
            </a:extLst>
          </xdr:cNvPr>
          <xdr:cNvSpPr/>
        </xdr:nvSpPr>
        <xdr:spPr>
          <a:xfrm>
            <a:off x="2469942" y="846666"/>
            <a:ext cx="1438846" cy="325155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FromClientTab" textlink="">
        <xdr:nvSpPr>
          <xdr:cNvPr id="40" name="deleteOrder">
            <a:extLst>
              <a:ext uri="{FF2B5EF4-FFF2-40B4-BE49-F238E27FC236}">
                <a16:creationId xmlns="" xmlns:a16="http://schemas.microsoft.com/office/drawing/2014/main" id="{00000000-0008-0000-0F00-000028000000}"/>
              </a:ext>
            </a:extLst>
          </xdr:cNvPr>
          <xdr:cNvSpPr/>
        </xdr:nvSpPr>
        <xdr:spPr>
          <a:xfrm>
            <a:off x="3993452" y="846666"/>
            <a:ext cx="1438845" cy="325155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printUsrFormLauncher" textlink="">
        <xdr:nvSpPr>
          <xdr:cNvPr id="85" name="deleteOrder">
            <a:extLst>
              <a:ext uri="{FF2B5EF4-FFF2-40B4-BE49-F238E27FC236}">
                <a16:creationId xmlns="" xmlns:a16="http://schemas.microsoft.com/office/drawing/2014/main" id="{00000000-0008-0000-0F00-000028000000}"/>
              </a:ext>
            </a:extLst>
          </xdr:cNvPr>
          <xdr:cNvSpPr/>
        </xdr:nvSpPr>
        <xdr:spPr>
          <a:xfrm>
            <a:off x="5516960" y="846666"/>
            <a:ext cx="1438845" cy="325155"/>
          </a:xfrm>
          <a:prstGeom prst="roundRect">
            <a:avLst/>
          </a:prstGeom>
          <a:solidFill>
            <a:schemeClr val="bg2">
              <a:lumMod val="50000"/>
            </a:schemeClr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</xdr:grpSp>
    <xdr:clientData/>
  </xdr:twoCellAnchor>
  <xdr:twoCellAnchor editAs="oneCell">
    <xdr:from>
      <xdr:col>107</xdr:col>
      <xdr:colOff>29633</xdr:colOff>
      <xdr:row>15</xdr:row>
      <xdr:rowOff>98287</xdr:rowOff>
    </xdr:from>
    <xdr:to>
      <xdr:col>108</xdr:col>
      <xdr:colOff>1221</xdr:colOff>
      <xdr:row>19</xdr:row>
      <xdr:rowOff>28822</xdr:rowOff>
    </xdr:to>
    <xdr:sp macro="" textlink="">
      <xdr:nvSpPr>
        <xdr:cNvPr id="70" name="printAllPdf" hidden="1">
          <a:extLst>
            <a:ext uri="{FF2B5EF4-FFF2-40B4-BE49-F238E27FC236}">
              <a16:creationId xmlns="" xmlns:a16="http://schemas.microsoft.com/office/drawing/2014/main" id="{00000000-0008-0000-0F00-000046000000}"/>
            </a:ext>
          </a:extLst>
        </xdr:cNvPr>
        <xdr:cNvSpPr/>
      </xdr:nvSpPr>
      <xdr:spPr>
        <a:xfrm>
          <a:off x="215248" y="2916710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PDF</a:t>
          </a:r>
        </a:p>
      </xdr:txBody>
    </xdr:sp>
    <xdr:clientData/>
  </xdr:twoCellAnchor>
  <xdr:twoCellAnchor editAs="oneCell">
    <xdr:from>
      <xdr:col>107</xdr:col>
      <xdr:colOff>14979</xdr:colOff>
      <xdr:row>19</xdr:row>
      <xdr:rowOff>117826</xdr:rowOff>
    </xdr:from>
    <xdr:to>
      <xdr:col>108</xdr:col>
      <xdr:colOff>2442</xdr:colOff>
      <xdr:row>23</xdr:row>
      <xdr:rowOff>61060</xdr:rowOff>
    </xdr:to>
    <xdr:sp macro="" textlink="">
      <xdr:nvSpPr>
        <xdr:cNvPr id="71" name="printAll" hidden="1">
          <a:extLst>
            <a:ext uri="{FF2B5EF4-FFF2-40B4-BE49-F238E27FC236}">
              <a16:creationId xmlns="" xmlns:a16="http://schemas.microsoft.com/office/drawing/2014/main" id="{00000000-0008-0000-0F00-000047000000}"/>
            </a:ext>
          </a:extLst>
        </xdr:cNvPr>
        <xdr:cNvSpPr/>
      </xdr:nvSpPr>
      <xdr:spPr>
        <a:xfrm>
          <a:off x="200594" y="3693364"/>
          <a:ext cx="1797213" cy="668600"/>
        </a:xfrm>
        <a:prstGeom prst="roundRect">
          <a:avLst/>
        </a:prstGeom>
        <a:solidFill>
          <a:srgbClr val="7030A0"/>
        </a:solidFill>
        <a:ln w="38100">
          <a:solidFill>
            <a:srgbClr val="660066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100" b="1">
              <a:solidFill>
                <a:schemeClr val="bg1"/>
              </a:solidFill>
            </a:rPr>
            <a:t>PRINT ALL</a:t>
          </a:r>
        </a:p>
        <a:p>
          <a:pPr algn="ctr"/>
          <a:r>
            <a:rPr lang="it-IT" sz="1100" b="1">
              <a:solidFill>
                <a:schemeClr val="bg1"/>
              </a:solidFill>
            </a:rPr>
            <a:t> TO PRINTER</a:t>
          </a:r>
        </a:p>
      </xdr:txBody>
    </xdr:sp>
    <xdr:clientData/>
  </xdr:twoCellAnchor>
  <xdr:twoCellAnchor>
    <xdr:from>
      <xdr:col>109</xdr:col>
      <xdr:colOff>58867</xdr:colOff>
      <xdr:row>8</xdr:row>
      <xdr:rowOff>54327</xdr:rowOff>
    </xdr:from>
    <xdr:to>
      <xdr:col>111</xdr:col>
      <xdr:colOff>474809</xdr:colOff>
      <xdr:row>13</xdr:row>
      <xdr:rowOff>136900</xdr:rowOff>
    </xdr:to>
    <xdr:grpSp>
      <xdr:nvGrpSpPr>
        <xdr:cNvPr id="80" name="proforma_panel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GrpSpPr/>
      </xdr:nvGrpSpPr>
      <xdr:grpSpPr>
        <a:xfrm>
          <a:off x="93908692" y="1216377"/>
          <a:ext cx="1558942" cy="1035073"/>
          <a:chOff x="2310651" y="1622289"/>
          <a:chExt cx="1073358" cy="1677288"/>
        </a:xfrm>
      </xdr:grpSpPr>
      <xdr:sp macro="[0]!showProforma" textlink="">
        <xdr:nvSpPr>
          <xdr:cNvPr id="62" name="showProforma">
            <a:extLst>
              <a:ext uri="{FF2B5EF4-FFF2-40B4-BE49-F238E27FC236}">
                <a16:creationId xmlns="" xmlns:a16="http://schemas.microsoft.com/office/drawing/2014/main" id="{00000000-0008-0000-0F00-00003E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Proforma" textlink="">
        <xdr:nvSpPr>
          <xdr:cNvPr id="63" name="printProformaPdf">
            <a:extLst>
              <a:ext uri="{FF2B5EF4-FFF2-40B4-BE49-F238E27FC236}">
                <a16:creationId xmlns=""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2" name="printProforma">
            <a:extLst>
              <a:ext uri="{FF2B5EF4-FFF2-40B4-BE49-F238E27FC236}">
                <a16:creationId xmlns="" xmlns:a16="http://schemas.microsoft.com/office/drawing/2014/main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 editAs="absolute">
    <xdr:from>
      <xdr:col>3</xdr:col>
      <xdr:colOff>11293</xdr:colOff>
      <xdr:row>32</xdr:row>
      <xdr:rowOff>140025</xdr:rowOff>
    </xdr:from>
    <xdr:to>
      <xdr:col>4</xdr:col>
      <xdr:colOff>89462</xdr:colOff>
      <xdr:row>36</xdr:row>
      <xdr:rowOff>28656</xdr:rowOff>
    </xdr:to>
    <xdr:sp macro="" textlink="">
      <xdr:nvSpPr>
        <xdr:cNvPr id="49" name="shipIt" hidden="1">
          <a:extLst>
            <a:ext uri="{FF2B5EF4-FFF2-40B4-BE49-F238E27FC236}">
              <a16:creationId xmlns="" xmlns:a16="http://schemas.microsoft.com/office/drawing/2014/main" id="{00000000-0008-0000-0F00-000031000000}"/>
            </a:ext>
          </a:extLst>
        </xdr:cNvPr>
        <xdr:cNvSpPr/>
      </xdr:nvSpPr>
      <xdr:spPr>
        <a:xfrm>
          <a:off x="228251" y="5683575"/>
          <a:ext cx="1897200" cy="625231"/>
        </a:xfrm>
        <a:prstGeom prst="roundRect">
          <a:avLst/>
        </a:prstGeom>
        <a:ln w="57150">
          <a:solidFill>
            <a:schemeClr val="accent6">
              <a:lumMod val="50000"/>
            </a:schemeClr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2000" b="1" u="none">
              <a:solidFill>
                <a:schemeClr val="bg1"/>
              </a:solidFill>
            </a:rPr>
            <a:t>SHIP IT !!</a:t>
          </a:r>
        </a:p>
      </xdr:txBody>
    </xdr:sp>
    <xdr:clientData/>
  </xdr:twoCellAnchor>
  <xdr:twoCellAnchor editAs="oneCell">
    <xdr:from>
      <xdr:col>59</xdr:col>
      <xdr:colOff>1454150</xdr:colOff>
      <xdr:row>1</xdr:row>
      <xdr:rowOff>6350</xdr:rowOff>
    </xdr:from>
    <xdr:to>
      <xdr:col>60</xdr:col>
      <xdr:colOff>640463</xdr:colOff>
      <xdr:row>6</xdr:row>
      <xdr:rowOff>161200</xdr:rowOff>
    </xdr:to>
    <xdr:pic macro="[0]!showOrderTab">
      <xdr:nvPicPr>
        <xdr:cNvPr id="88" name="reload" descr="reload-Photoroom.png-Photoroom.png" hidden="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7018000" y="215900"/>
          <a:ext cx="720000" cy="720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652469</xdr:colOff>
      <xdr:row>0</xdr:row>
      <xdr:rowOff>73025</xdr:rowOff>
    </xdr:from>
    <xdr:to>
      <xdr:col>11</xdr:col>
      <xdr:colOff>1849760</xdr:colOff>
      <xdr:row>3</xdr:row>
      <xdr:rowOff>76200</xdr:rowOff>
    </xdr:to>
    <xdr:sp macro="" textlink="">
      <xdr:nvSpPr>
        <xdr:cNvPr id="15" name="docPressed" hidden="1">
          <a:extLst>
            <a:ext uri="{FF2B5EF4-FFF2-40B4-BE49-F238E27FC236}">
              <a16:creationId xmlns="" xmlns:a16="http://schemas.microsoft.com/office/drawing/2014/main" id="{00000000-0008-0000-0F00-00000F000000}"/>
            </a:ext>
          </a:extLst>
        </xdr:cNvPr>
        <xdr:cNvSpPr/>
      </xdr:nvSpPr>
      <xdr:spPr>
        <a:xfrm>
          <a:off x="6490236" y="73025"/>
          <a:ext cx="1298891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DOCUMENTS</a:t>
          </a:r>
        </a:p>
      </xdr:txBody>
    </xdr:sp>
    <xdr:clientData/>
  </xdr:twoCellAnchor>
  <xdr:twoCellAnchor editAs="absolute">
    <xdr:from>
      <xdr:col>11</xdr:col>
      <xdr:colOff>1845932</xdr:colOff>
      <xdr:row>0</xdr:row>
      <xdr:rowOff>73025</xdr:rowOff>
    </xdr:from>
    <xdr:to>
      <xdr:col>13</xdr:col>
      <xdr:colOff>431457</xdr:colOff>
      <xdr:row>3</xdr:row>
      <xdr:rowOff>76200</xdr:rowOff>
    </xdr:to>
    <xdr:sp macro="" textlink="">
      <xdr:nvSpPr>
        <xdr:cNvPr id="28" name="contactPressed" hidden="1">
          <a:extLst>
            <a:ext uri="{FF2B5EF4-FFF2-40B4-BE49-F238E27FC236}">
              <a16:creationId xmlns="" xmlns:a16="http://schemas.microsoft.com/office/drawing/2014/main" id="{00000000-0008-0000-0F00-00001C000000}"/>
            </a:ext>
          </a:extLst>
        </xdr:cNvPr>
        <xdr:cNvSpPr/>
      </xdr:nvSpPr>
      <xdr:spPr>
        <a:xfrm>
          <a:off x="7804349" y="73025"/>
          <a:ext cx="1388560" cy="390525"/>
        </a:xfrm>
        <a:prstGeom prst="snip1Rect">
          <a:avLst/>
        </a:prstGeom>
        <a:ln>
          <a:solidFill>
            <a:schemeClr val="accent5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it-IT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CONTACTS</a:t>
          </a:r>
        </a:p>
      </xdr:txBody>
    </xdr:sp>
    <xdr:clientData/>
  </xdr:twoCellAnchor>
  <xdr:twoCellAnchor editAs="absolute">
    <xdr:from>
      <xdr:col>5</xdr:col>
      <xdr:colOff>144489</xdr:colOff>
      <xdr:row>0</xdr:row>
      <xdr:rowOff>73025</xdr:rowOff>
    </xdr:from>
    <xdr:to>
      <xdr:col>17</xdr:col>
      <xdr:colOff>701113</xdr:colOff>
      <xdr:row>3</xdr:row>
      <xdr:rowOff>76200</xdr:rowOff>
    </xdr:to>
    <xdr:grpSp>
      <xdr:nvGrpSpPr>
        <xdr:cNvPr id="95" name="main_menu"/>
        <xdr:cNvGrpSpPr/>
      </xdr:nvGrpSpPr>
      <xdr:grpSpPr>
        <a:xfrm>
          <a:off x="2297139" y="73025"/>
          <a:ext cx="10491199" cy="403225"/>
          <a:chOff x="2399553" y="73025"/>
          <a:chExt cx="10824412" cy="390525"/>
        </a:xfrm>
      </xdr:grpSpPr>
      <xdr:sp macro="[0]!showClientTab" textlink="">
        <xdr:nvSpPr>
          <xdr:cNvPr id="6" name="client" hidden="1">
            <a:extLst>
              <a:ext uri="{FF2B5EF4-FFF2-40B4-BE49-F238E27FC236}">
                <a16:creationId xmlns="" xmlns:a16="http://schemas.microsoft.com/office/drawing/2014/main" id="{00000000-0008-0000-0F00-000006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600" b="1"/>
          </a:p>
        </xdr:txBody>
      </xdr:sp>
      <xdr:sp macro="[0]!showOrderTab" textlink="">
        <xdr:nvSpPr>
          <xdr:cNvPr id="7" name="order">
            <a:extLst>
              <a:ext uri="{FF2B5EF4-FFF2-40B4-BE49-F238E27FC236}">
                <a16:creationId xmlns="" xmlns:a16="http://schemas.microsoft.com/office/drawing/2014/main" id="{00000000-0008-0000-0F00-000007000000}"/>
              </a:ext>
            </a:extLst>
          </xdr:cNvPr>
          <xdr:cNvSpPr/>
        </xdr:nvSpPr>
        <xdr:spPr>
          <a:xfrm>
            <a:off x="4565656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SHIPMENT DETAILS</a:t>
            </a:r>
          </a:p>
        </xdr:txBody>
      </xdr:sp>
      <xdr:sp macro="" textlink="">
        <xdr:nvSpPr>
          <xdr:cNvPr id="13" name="clientPressed">
            <a:extLst>
              <a:ext uri="{FF2B5EF4-FFF2-40B4-BE49-F238E27FC236}">
                <a16:creationId xmlns="" xmlns:a16="http://schemas.microsoft.com/office/drawing/2014/main" id="{00000000-0008-0000-0F00-00000D000000}"/>
              </a:ext>
            </a:extLst>
          </xdr:cNvPr>
          <xdr:cNvSpPr/>
        </xdr:nvSpPr>
        <xdr:spPr>
          <a:xfrm>
            <a:off x="2399553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 baseline="0"/>
              <a:t>CONTROL BOARD</a:t>
            </a:r>
            <a:endParaRPr lang="it-IT" sz="1200" b="1"/>
          </a:p>
        </xdr:txBody>
      </xdr:sp>
      <xdr:sp macro="" textlink="">
        <xdr:nvSpPr>
          <xdr:cNvPr id="14" name="orderPressed" hidden="1">
            <a:extLst>
              <a:ext uri="{FF2B5EF4-FFF2-40B4-BE49-F238E27FC236}">
                <a16:creationId xmlns="" xmlns:a16="http://schemas.microsoft.com/office/drawing/2014/main" id="{00000000-0008-0000-0F00-00000E000000}"/>
              </a:ext>
            </a:extLst>
          </xdr:cNvPr>
          <xdr:cNvSpPr/>
        </xdr:nvSpPr>
        <xdr:spPr>
          <a:xfrm>
            <a:off x="4565656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SHIPMENT DETAILS</a:t>
            </a:r>
          </a:p>
        </xdr:txBody>
      </xdr:sp>
      <xdr:sp macro="[0]!showProdTab" textlink="">
        <xdr:nvSpPr>
          <xdr:cNvPr id="21" name="product">
            <a:extLst>
              <a:ext uri="{FF2B5EF4-FFF2-40B4-BE49-F238E27FC236}">
                <a16:creationId xmlns="" xmlns:a16="http://schemas.microsoft.com/office/drawing/2014/main" id="{00000000-0008-0000-0F00-000015000000}"/>
              </a:ext>
            </a:extLst>
          </xdr:cNvPr>
          <xdr:cNvSpPr/>
        </xdr:nvSpPr>
        <xdr:spPr>
          <a:xfrm>
            <a:off x="6731759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" textlink="">
        <xdr:nvSpPr>
          <xdr:cNvPr id="22" name="productPressed" hidden="1">
            <a:extLst>
              <a:ext uri="{FF2B5EF4-FFF2-40B4-BE49-F238E27FC236}">
                <a16:creationId xmlns="" xmlns:a16="http://schemas.microsoft.com/office/drawing/2014/main" id="{00000000-0008-0000-0F00-000016000000}"/>
              </a:ext>
            </a:extLst>
          </xdr:cNvPr>
          <xdr:cNvSpPr/>
        </xdr:nvSpPr>
        <xdr:spPr>
          <a:xfrm>
            <a:off x="6731759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ORDERED PRODUCTS</a:t>
            </a:r>
          </a:p>
        </xdr:txBody>
      </xdr:sp>
      <xdr:sp macro="[0]!showWarehouseTab" textlink="">
        <xdr:nvSpPr>
          <xdr:cNvPr id="30" name="warehouse">
            <a:extLst>
              <a:ext uri="{FF2B5EF4-FFF2-40B4-BE49-F238E27FC236}">
                <a16:creationId xmlns="" xmlns:a16="http://schemas.microsoft.com/office/drawing/2014/main" id="{00000000-0008-0000-0F00-00001E000000}"/>
              </a:ext>
            </a:extLst>
          </xdr:cNvPr>
          <xdr:cNvSpPr/>
        </xdr:nvSpPr>
        <xdr:spPr>
          <a:xfrm>
            <a:off x="8897862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WAREHOUSE</a:t>
            </a:r>
            <a:endParaRPr lang="it-IT" sz="1400" b="1"/>
          </a:p>
        </xdr:txBody>
      </xdr:sp>
      <xdr:sp macro="[0]!showAdminTab" textlink="">
        <xdr:nvSpPr>
          <xdr:cNvPr id="90" name="admin">
            <a:extLst>
              <a:ext uri="{FF2B5EF4-FFF2-40B4-BE49-F238E27FC236}">
                <a16:creationId xmlns="" xmlns:a16="http://schemas.microsoft.com/office/drawing/2014/main" id="{00000000-0008-0000-0F00-00001E000000}"/>
              </a:ext>
            </a:extLst>
          </xdr:cNvPr>
          <xdr:cNvSpPr/>
        </xdr:nvSpPr>
        <xdr:spPr>
          <a:xfrm>
            <a:off x="11063965" y="73025"/>
            <a:ext cx="2160000" cy="390525"/>
          </a:xfrm>
          <a:prstGeom prst="snip1Rect">
            <a:avLst/>
          </a:prstGeom>
          <a:ln w="28575">
            <a:solidFill>
              <a:schemeClr val="accent1">
                <a:lumMod val="20000"/>
                <a:lumOff val="80000"/>
              </a:schemeClr>
            </a:solidFill>
          </a:ln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200" b="1"/>
              <a:t>ADMINISTRATION</a:t>
            </a:r>
          </a:p>
        </xdr:txBody>
      </xdr:sp>
      <xdr:sp macro="" textlink="">
        <xdr:nvSpPr>
          <xdr:cNvPr id="82" name="adminPressed" hidden="1">
            <a:extLst>
              <a:ext uri="{FF2B5EF4-FFF2-40B4-BE49-F238E27FC236}">
                <a16:creationId xmlns="" xmlns:a16="http://schemas.microsoft.com/office/drawing/2014/main" id="{00000000-0008-0000-0F00-00001C000000}"/>
              </a:ext>
            </a:extLst>
          </xdr:cNvPr>
          <xdr:cNvSpPr/>
        </xdr:nvSpPr>
        <xdr:spPr>
          <a:xfrm>
            <a:off x="11063965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ADMINISTRATION</a:t>
            </a:r>
          </a:p>
        </xdr:txBody>
      </xdr:sp>
      <xdr:sp macro="" textlink="">
        <xdr:nvSpPr>
          <xdr:cNvPr id="83" name="warehousePressed" hidden="1">
            <a:extLst>
              <a:ext uri="{FF2B5EF4-FFF2-40B4-BE49-F238E27FC236}">
                <a16:creationId xmlns="" xmlns:a16="http://schemas.microsoft.com/office/drawing/2014/main" id="{00000000-0008-0000-0F00-00001C000000}"/>
              </a:ext>
            </a:extLst>
          </xdr:cNvPr>
          <xdr:cNvSpPr/>
        </xdr:nvSpPr>
        <xdr:spPr>
          <a:xfrm>
            <a:off x="8897862" y="73025"/>
            <a:ext cx="2160000" cy="390525"/>
          </a:xfrm>
          <a:prstGeom prst="snip1Rect">
            <a:avLst/>
          </a:prstGeom>
          <a:ln>
            <a:solidFill>
              <a:schemeClr val="accent5">
                <a:lumMod val="75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rPr>
              <a:t>WAREHOSE</a:t>
            </a:r>
          </a:p>
        </xdr:txBody>
      </xdr:sp>
    </xdr:grpSp>
    <xdr:clientData/>
  </xdr:twoCellAnchor>
  <xdr:twoCellAnchor>
    <xdr:from>
      <xdr:col>2</xdr:col>
      <xdr:colOff>228252</xdr:colOff>
      <xdr:row>35</xdr:row>
      <xdr:rowOff>35763</xdr:rowOff>
    </xdr:from>
    <xdr:to>
      <xdr:col>4</xdr:col>
      <xdr:colOff>6017</xdr:colOff>
      <xdr:row>40</xdr:row>
      <xdr:rowOff>172512</xdr:rowOff>
    </xdr:to>
    <xdr:grpSp>
      <xdr:nvGrpSpPr>
        <xdr:cNvPr id="68" name="showHiddenData"/>
        <xdr:cNvGrpSpPr/>
      </xdr:nvGrpSpPr>
      <xdr:grpSpPr>
        <a:xfrm>
          <a:off x="228252" y="6341313"/>
          <a:ext cx="1711340" cy="1089249"/>
          <a:chOff x="254998" y="6744070"/>
          <a:chExt cx="1744284" cy="1061139"/>
        </a:xfrm>
      </xdr:grpSpPr>
      <xdr:sp macro="[0]!showClientdB" textlink="">
        <xdr:nvSpPr>
          <xdr:cNvPr id="17" name="editClient">
            <a:extLst>
              <a:ext uri="{FF2B5EF4-FFF2-40B4-BE49-F238E27FC236}">
                <a16:creationId xmlns="" xmlns:a16="http://schemas.microsoft.com/office/drawing/2014/main" id="{00000000-0008-0000-0F00-000011000000}"/>
              </a:ext>
            </a:extLst>
          </xdr:cNvPr>
          <xdr:cNvSpPr/>
        </xdr:nvSpPr>
        <xdr:spPr>
          <a:xfrm>
            <a:off x="254998" y="6744070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CUSTOMER'S</a:t>
            </a:r>
          </a:p>
        </xdr:txBody>
      </xdr:sp>
      <xdr:sp macro="[0]!showOrderSheet" textlink="">
        <xdr:nvSpPr>
          <xdr:cNvPr id="87" name="showOrderSheet">
            <a:extLst>
              <a:ext uri="{FF2B5EF4-FFF2-40B4-BE49-F238E27FC236}">
                <a16:creationId xmlns="" xmlns:a16="http://schemas.microsoft.com/office/drawing/2014/main" id="{00000000-0008-0000-0F00-000011000000}"/>
              </a:ext>
            </a:extLst>
          </xdr:cNvPr>
          <xdr:cNvSpPr/>
        </xdr:nvSpPr>
        <xdr:spPr>
          <a:xfrm>
            <a:off x="254998" y="7121206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ORDER DATASET</a:t>
            </a:r>
          </a:p>
        </xdr:txBody>
      </xdr:sp>
      <xdr:sp macro="[0]!showSalesSheet" textlink="">
        <xdr:nvSpPr>
          <xdr:cNvPr id="92" name="showSalesSheet">
            <a:extLst>
              <a:ext uri="{FF2B5EF4-FFF2-40B4-BE49-F238E27FC236}">
                <a16:creationId xmlns="" xmlns:a16="http://schemas.microsoft.com/office/drawing/2014/main" id="{00000000-0008-0000-0F00-000011000000}"/>
              </a:ext>
            </a:extLst>
          </xdr:cNvPr>
          <xdr:cNvSpPr/>
        </xdr:nvSpPr>
        <xdr:spPr>
          <a:xfrm>
            <a:off x="254998" y="7498341"/>
            <a:ext cx="1744284" cy="306868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SALES DATASET</a:t>
            </a:r>
          </a:p>
        </xdr:txBody>
      </xdr:sp>
    </xdr:grpSp>
    <xdr:clientData/>
  </xdr:twoCellAnchor>
  <xdr:twoCellAnchor>
    <xdr:from>
      <xdr:col>109</xdr:col>
      <xdr:colOff>64484</xdr:colOff>
      <xdr:row>15</xdr:row>
      <xdr:rowOff>76969</xdr:rowOff>
    </xdr:from>
    <xdr:to>
      <xdr:col>111</xdr:col>
      <xdr:colOff>480426</xdr:colOff>
      <xdr:row>18</xdr:row>
      <xdr:rowOff>166207</xdr:rowOff>
    </xdr:to>
    <xdr:grpSp>
      <xdr:nvGrpSpPr>
        <xdr:cNvPr id="94" name="invoice_panel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GrpSpPr/>
      </xdr:nvGrpSpPr>
      <xdr:grpSpPr>
        <a:xfrm>
          <a:off x="93914309" y="2572519"/>
          <a:ext cx="1558942" cy="660738"/>
          <a:chOff x="2310651" y="2223098"/>
          <a:chExt cx="1073358" cy="1076479"/>
        </a:xfrm>
      </xdr:grpSpPr>
      <xdr:sp macro="" textlink="">
        <xdr:nvSpPr>
          <xdr:cNvPr id="96" name="printProformaPdf">
            <a:extLst>
              <a:ext uri="{FF2B5EF4-FFF2-40B4-BE49-F238E27FC236}">
                <a16:creationId xmlns=""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ISSUE INVOICE</a:t>
            </a:r>
          </a:p>
        </xdr:txBody>
      </xdr:sp>
      <xdr:sp macro="" textlink="">
        <xdr:nvSpPr>
          <xdr:cNvPr id="97" name="printProforma">
            <a:extLst>
              <a:ext uri="{FF2B5EF4-FFF2-40B4-BE49-F238E27FC236}">
                <a16:creationId xmlns="" xmlns:a16="http://schemas.microsoft.com/office/drawing/2014/main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64" name="autoSyncOn"/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START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  <xdr:twoCellAnchor>
    <xdr:from>
      <xdr:col>18</xdr:col>
      <xdr:colOff>142527</xdr:colOff>
      <xdr:row>0</xdr:row>
      <xdr:rowOff>86784</xdr:rowOff>
    </xdr:from>
    <xdr:to>
      <xdr:col>19</xdr:col>
      <xdr:colOff>658602</xdr:colOff>
      <xdr:row>1</xdr:row>
      <xdr:rowOff>148284</xdr:rowOff>
    </xdr:to>
    <xdr:sp macro="[0]!noFilter" textlink="">
      <xdr:nvSpPr>
        <xdr:cNvPr id="66" name="clearFiltersBtn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SpPr/>
      </xdr:nvSpPr>
      <xdr:spPr>
        <a:xfrm>
          <a:off x="13153677" y="86784"/>
          <a:ext cx="1440000" cy="252000"/>
        </a:xfrm>
        <a:prstGeom prst="roundRect">
          <a:avLst/>
        </a:prstGeom>
        <a:solidFill>
          <a:srgbClr val="C00000"/>
        </a:solidFill>
        <a:ln w="19050">
          <a:solidFill>
            <a:schemeClr val="tx1"/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200" b="1">
              <a:solidFill>
                <a:schemeClr val="bg1"/>
              </a:solidFill>
            </a:rPr>
            <a:t>CLEAR FILTERS</a:t>
          </a:r>
        </a:p>
      </xdr:txBody>
    </xdr:sp>
    <xdr:clientData/>
  </xdr:twoCellAnchor>
  <xdr:twoCellAnchor>
    <xdr:from>
      <xdr:col>109</xdr:col>
      <xdr:colOff>42259</xdr:colOff>
      <xdr:row>22</xdr:row>
      <xdr:rowOff>61654</xdr:rowOff>
    </xdr:from>
    <xdr:to>
      <xdr:col>111</xdr:col>
      <xdr:colOff>458201</xdr:colOff>
      <xdr:row>27</xdr:row>
      <xdr:rowOff>128107</xdr:rowOff>
    </xdr:to>
    <xdr:grpSp>
      <xdr:nvGrpSpPr>
        <xdr:cNvPr id="67" name="invoice_panel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GrpSpPr/>
      </xdr:nvGrpSpPr>
      <xdr:grpSpPr>
        <a:xfrm>
          <a:off x="93892084" y="3890704"/>
          <a:ext cx="1558942" cy="1018953"/>
          <a:chOff x="2310651" y="1622289"/>
          <a:chExt cx="1073358" cy="1677288"/>
        </a:xfrm>
      </xdr:grpSpPr>
      <xdr:sp macro="[0]!showPackingList" textlink="">
        <xdr:nvSpPr>
          <xdr:cNvPr id="69" name="showProforma">
            <a:extLst>
              <a:ext uri="{FF2B5EF4-FFF2-40B4-BE49-F238E27FC236}">
                <a16:creationId xmlns="" xmlns:a16="http://schemas.microsoft.com/office/drawing/2014/main" id="{00000000-0008-0000-0F00-00003E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PackingList" textlink="">
        <xdr:nvSpPr>
          <xdr:cNvPr id="74" name="printProformaPdf">
            <a:extLst>
              <a:ext uri="{FF2B5EF4-FFF2-40B4-BE49-F238E27FC236}">
                <a16:creationId xmlns=""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5" name="printProforma">
            <a:extLst>
              <a:ext uri="{FF2B5EF4-FFF2-40B4-BE49-F238E27FC236}">
                <a16:creationId xmlns="" xmlns:a16="http://schemas.microsoft.com/office/drawing/2014/main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109</xdr:col>
      <xdr:colOff>42259</xdr:colOff>
      <xdr:row>29</xdr:row>
      <xdr:rowOff>55304</xdr:rowOff>
    </xdr:from>
    <xdr:to>
      <xdr:col>111</xdr:col>
      <xdr:colOff>458201</xdr:colOff>
      <xdr:row>34</xdr:row>
      <xdr:rowOff>134457</xdr:rowOff>
    </xdr:to>
    <xdr:grpSp>
      <xdr:nvGrpSpPr>
        <xdr:cNvPr id="76" name="invoice_panel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GrpSpPr/>
      </xdr:nvGrpSpPr>
      <xdr:grpSpPr>
        <a:xfrm>
          <a:off x="93892084" y="5217854"/>
          <a:ext cx="1558942" cy="1031653"/>
          <a:chOff x="2310651" y="1622289"/>
          <a:chExt cx="1073358" cy="1677288"/>
        </a:xfrm>
      </xdr:grpSpPr>
      <xdr:sp macro="[0]!showMultimodal" textlink="">
        <xdr:nvSpPr>
          <xdr:cNvPr id="77" name="showProforma">
            <a:extLst>
              <a:ext uri="{FF2B5EF4-FFF2-40B4-BE49-F238E27FC236}">
                <a16:creationId xmlns="" xmlns:a16="http://schemas.microsoft.com/office/drawing/2014/main" id="{00000000-0008-0000-0F00-00003E000000}"/>
              </a:ext>
            </a:extLst>
          </xdr:cNvPr>
          <xdr:cNvSpPr/>
        </xdr:nvSpPr>
        <xdr:spPr>
          <a:xfrm>
            <a:off x="2310651" y="1622289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SHOW  DOC</a:t>
            </a:r>
          </a:p>
        </xdr:txBody>
      </xdr:sp>
      <xdr:sp macro="[0]!printDgn" textlink="">
        <xdr:nvSpPr>
          <xdr:cNvPr id="78" name="printProformaPdf">
            <a:extLst>
              <a:ext uri="{FF2B5EF4-FFF2-40B4-BE49-F238E27FC236}">
                <a16:creationId xmlns="" xmlns:a16="http://schemas.microsoft.com/office/drawing/2014/main" id="{00000000-0008-0000-0F00-00003F000000}"/>
              </a:ext>
            </a:extLst>
          </xdr:cNvPr>
          <xdr:cNvSpPr/>
        </xdr:nvSpPr>
        <xdr:spPr>
          <a:xfrm>
            <a:off x="2310651" y="2223098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PDF</a:t>
            </a:r>
          </a:p>
        </xdr:txBody>
      </xdr:sp>
      <xdr:sp macro="" textlink="">
        <xdr:nvSpPr>
          <xdr:cNvPr id="79" name="printProforma">
            <a:extLst>
              <a:ext uri="{FF2B5EF4-FFF2-40B4-BE49-F238E27FC236}">
                <a16:creationId xmlns="" xmlns:a16="http://schemas.microsoft.com/office/drawing/2014/main" id="{00000000-0008-0000-0F00-000048000000}"/>
              </a:ext>
            </a:extLst>
          </xdr:cNvPr>
          <xdr:cNvSpPr/>
        </xdr:nvSpPr>
        <xdr:spPr>
          <a:xfrm>
            <a:off x="2315484" y="2823907"/>
            <a:ext cx="1068525" cy="475670"/>
          </a:xfrm>
          <a:prstGeom prst="roundRect">
            <a:avLst/>
          </a:prstGeom>
          <a:solidFill>
            <a:srgbClr val="7030A0"/>
          </a:solidFill>
          <a:ln w="38100">
            <a:solidFill>
              <a:srgbClr val="660066"/>
            </a:solidFill>
          </a:ln>
        </xdr:spPr>
        <xdr:style>
          <a:lnRef idx="3">
            <a:schemeClr val="lt1"/>
          </a:lnRef>
          <a:fillRef idx="1">
            <a:schemeClr val="accent4"/>
          </a:fillRef>
          <a:effectRef idx="1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 TO PRINTER</a:t>
            </a:r>
          </a:p>
        </xdr:txBody>
      </xdr:sp>
    </xdr:grpSp>
    <xdr:clientData/>
  </xdr:twoCellAnchor>
  <xdr:twoCellAnchor>
    <xdr:from>
      <xdr:col>42</xdr:col>
      <xdr:colOff>200106</xdr:colOff>
      <xdr:row>4</xdr:row>
      <xdr:rowOff>69465</xdr:rowOff>
    </xdr:from>
    <xdr:to>
      <xdr:col>52</xdr:col>
      <xdr:colOff>317500</xdr:colOff>
      <xdr:row>6</xdr:row>
      <xdr:rowOff>107715</xdr:rowOff>
    </xdr:to>
    <xdr:grpSp>
      <xdr:nvGrpSpPr>
        <xdr:cNvPr id="93" name="order_control_panel" hidden="1"/>
        <xdr:cNvGrpSpPr/>
      </xdr:nvGrpSpPr>
      <xdr:grpSpPr>
        <a:xfrm>
          <a:off x="30337206" y="564765"/>
          <a:ext cx="7642144" cy="324000"/>
          <a:chOff x="2467056" y="847340"/>
          <a:chExt cx="7896144" cy="317652"/>
        </a:xfrm>
      </xdr:grpSpPr>
      <xdr:sp macro="[0]!neworderUsrFormLauncher" textlink="">
        <xdr:nvSpPr>
          <xdr:cNvPr id="18" name="new" hidden="1">
            <a:extLst>
              <a:ext uri="{FF2B5EF4-FFF2-40B4-BE49-F238E27FC236}">
                <a16:creationId xmlns="" xmlns:a16="http://schemas.microsoft.com/office/drawing/2014/main" id="{00000000-0008-0000-0F00-000012000000}"/>
              </a:ext>
            </a:extLst>
          </xdr:cNvPr>
          <xdr:cNvSpPr/>
        </xdr:nvSpPr>
        <xdr:spPr>
          <a:xfrm>
            <a:off x="2467056" y="847340"/>
            <a:ext cx="1507904" cy="317652"/>
          </a:xfrm>
          <a:prstGeom prst="roundRect">
            <a:avLst/>
          </a:prstGeom>
          <a:solidFill>
            <a:schemeClr val="accent6"/>
          </a:solidFill>
          <a:ln w="38100">
            <a:solidFill>
              <a:schemeClr val="accent6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saveOrder" textlink="">
        <xdr:nvSpPr>
          <xdr:cNvPr id="19" name="save" hidden="1">
            <a:extLst>
              <a:ext uri="{FF2B5EF4-FFF2-40B4-BE49-F238E27FC236}">
                <a16:creationId xmlns="" xmlns:a16="http://schemas.microsoft.com/office/drawing/2014/main" id="{00000000-0008-0000-0F00-000013000000}"/>
              </a:ext>
            </a:extLst>
          </xdr:cNvPr>
          <xdr:cNvSpPr/>
        </xdr:nvSpPr>
        <xdr:spPr>
          <a:xfrm>
            <a:off x="4042625" y="847340"/>
            <a:ext cx="1507904" cy="317652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ORDER</a:t>
            </a:r>
          </a:p>
        </xdr:txBody>
      </xdr:sp>
      <xdr:sp macro="[0]!delOrder" textlink="">
        <xdr:nvSpPr>
          <xdr:cNvPr id="20" name="delete" hidden="1">
            <a:extLst>
              <a:ext uri="{FF2B5EF4-FFF2-40B4-BE49-F238E27FC236}">
                <a16:creationId xmlns="" xmlns:a16="http://schemas.microsoft.com/office/drawing/2014/main" id="{00000000-0008-0000-0F00-000014000000}"/>
              </a:ext>
            </a:extLst>
          </xdr:cNvPr>
          <xdr:cNvSpPr/>
        </xdr:nvSpPr>
        <xdr:spPr>
          <a:xfrm>
            <a:off x="5618194" y="847340"/>
            <a:ext cx="1507904" cy="317652"/>
          </a:xfrm>
          <a:prstGeom prst="roundRect">
            <a:avLst/>
          </a:prstGeom>
          <a:solidFill>
            <a:srgbClr val="C00000"/>
          </a:solidFill>
          <a:ln w="38100">
            <a:solidFill>
              <a:schemeClr val="tx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convertToEur" textlink="">
        <xdr:nvSpPr>
          <xdr:cNvPr id="89" name="convertEur" hidden="1">
            <a:extLst>
              <a:ext uri="{FF2B5EF4-FFF2-40B4-BE49-F238E27FC236}">
                <a16:creationId xmlns="" xmlns:a16="http://schemas.microsoft.com/office/drawing/2014/main" id="{00000000-0008-0000-0F00-000022000000}"/>
              </a:ext>
            </a:extLst>
          </xdr:cNvPr>
          <xdr:cNvSpPr/>
        </xdr:nvSpPr>
        <xdr:spPr>
          <a:xfrm>
            <a:off x="7193763" y="847340"/>
            <a:ext cx="1507922" cy="317652"/>
          </a:xfrm>
          <a:prstGeom prst="roundRect">
            <a:avLst/>
          </a:prstGeom>
          <a:solidFill>
            <a:srgbClr val="0070C0"/>
          </a:solidFill>
          <a:ln w="38100">
            <a:solidFill>
              <a:schemeClr val="accent5">
                <a:lumMod val="50000"/>
              </a:schemeClr>
            </a:solidFill>
          </a:ln>
        </xdr:spPr>
        <xdr:style>
          <a:lnRef idx="3">
            <a:schemeClr val="lt1"/>
          </a:lnRef>
          <a:fillRef idx="1">
            <a:schemeClr val="accent5"/>
          </a:fillRef>
          <a:effectRef idx="1">
            <a:schemeClr val="accent5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baseline="0">
                <a:solidFill>
                  <a:schemeClr val="bg1"/>
                </a:solidFill>
              </a:rPr>
              <a:t>CONVERT TO EUR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[0]!printUsrFormLauncherOrderTab" textlink="">
        <xdr:nvSpPr>
          <xdr:cNvPr id="84" name="printBtn" hidden="1">
            <a:extLst>
              <a:ext uri="{FF2B5EF4-FFF2-40B4-BE49-F238E27FC236}">
                <a16:creationId xmlns="" xmlns:a16="http://schemas.microsoft.com/office/drawing/2014/main" id="{00000000-0008-0000-0F00-000002000000}"/>
              </a:ext>
            </a:extLst>
          </xdr:cNvPr>
          <xdr:cNvSpPr/>
        </xdr:nvSpPr>
        <xdr:spPr>
          <a:xfrm>
            <a:off x="8769351" y="847340"/>
            <a:ext cx="1593849" cy="306868"/>
          </a:xfrm>
          <a:prstGeom prst="roundRect">
            <a:avLst/>
          </a:prstGeom>
          <a:solidFill>
            <a:schemeClr val="bg2">
              <a:lumMod val="50000"/>
            </a:schemeClr>
          </a:solidFill>
          <a:ln w="38100">
            <a:solidFill>
              <a:schemeClr val="bg2">
                <a:lumMod val="25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ORDER'S DOCS</a:t>
            </a:r>
          </a:p>
        </xdr:txBody>
      </xdr:sp>
    </xdr:grpSp>
    <xdr:clientData/>
  </xdr:twoCellAnchor>
  <xdr:twoCellAnchor>
    <xdr:from>
      <xdr:col>681</xdr:col>
      <xdr:colOff>38100</xdr:colOff>
      <xdr:row>9</xdr:row>
      <xdr:rowOff>180975</xdr:rowOff>
    </xdr:from>
    <xdr:to>
      <xdr:col>684</xdr:col>
      <xdr:colOff>9525</xdr:colOff>
      <xdr:row>12</xdr:row>
      <xdr:rowOff>104775</xdr:rowOff>
    </xdr:to>
    <xdr:sp macro="[0]!ToggleAutoSync" textlink="">
      <xdr:nvSpPr>
        <xdr:cNvPr id="115" name="autoSyncOff" hidden="1"/>
        <xdr:cNvSpPr/>
      </xdr:nvSpPr>
      <xdr:spPr>
        <a:xfrm>
          <a:off x="2471153" y="1848686"/>
          <a:ext cx="1796214" cy="475247"/>
        </a:xfrm>
        <a:prstGeom prst="roundRect">
          <a:avLst/>
        </a:prstGeom>
        <a:ln w="28575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t-IT" sz="1400" b="1"/>
            <a:t>STOP</a:t>
          </a:r>
          <a:r>
            <a:rPr lang="it-IT" sz="1400" b="1" baseline="0"/>
            <a:t> AUTO-SYNC</a:t>
          </a:r>
          <a:endParaRPr lang="it-IT" sz="1400" b="1"/>
        </a:p>
      </xdr:txBody>
    </xdr:sp>
    <xdr:clientData/>
  </xdr:twoCellAnchor>
  <xdr:twoCellAnchor>
    <xdr:from>
      <xdr:col>18</xdr:col>
      <xdr:colOff>133350</xdr:colOff>
      <xdr:row>0</xdr:row>
      <xdr:rowOff>57150</xdr:rowOff>
    </xdr:from>
    <xdr:to>
      <xdr:col>22</xdr:col>
      <xdr:colOff>114075</xdr:colOff>
      <xdr:row>7</xdr:row>
      <xdr:rowOff>104775</xdr:rowOff>
    </xdr:to>
    <xdr:grpSp>
      <xdr:nvGrpSpPr>
        <xdr:cNvPr id="100" name="filtri_rapidi"/>
        <xdr:cNvGrpSpPr/>
      </xdr:nvGrpSpPr>
      <xdr:grpSpPr>
        <a:xfrm>
          <a:off x="13144500" y="57150"/>
          <a:ext cx="4428900" cy="1019175"/>
          <a:chOff x="13144500" y="95250"/>
          <a:chExt cx="4428900" cy="1095375"/>
        </a:xfrm>
      </xdr:grpSpPr>
      <xdr:sp macro="[0]!filtro1" textlink="">
        <xdr:nvSpPr>
          <xdr:cNvPr id="81" name="filtro4"/>
          <xdr:cNvSpPr/>
        </xdr:nvSpPr>
        <xdr:spPr>
          <a:xfrm>
            <a:off x="13144500" y="409575"/>
            <a:ext cx="252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FATTURE</a:t>
            </a:r>
            <a:r>
              <a:rPr lang="it-IT" sz="800" b="1" baseline="0">
                <a:solidFill>
                  <a:sysClr val="windowText" lastClr="000000"/>
                </a:solidFill>
              </a:rPr>
              <a:t>  DI VENDITA DALLA PIU' RECENTE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[0]!filtro4" textlink="">
        <xdr:nvSpPr>
          <xdr:cNvPr id="86" name="filtro3"/>
          <xdr:cNvSpPr/>
        </xdr:nvSpPr>
        <xdr:spPr>
          <a:xfrm>
            <a:off x="15773400" y="409575"/>
            <a:ext cx="180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ORDINI IN PREPARAZIONE</a:t>
            </a:r>
          </a:p>
        </xdr:txBody>
      </xdr:sp>
      <xdr:sp macro="[0]!filtro5" textlink="">
        <xdr:nvSpPr>
          <xdr:cNvPr id="91" name="filtro2"/>
          <xdr:cNvSpPr/>
        </xdr:nvSpPr>
        <xdr:spPr>
          <a:xfrm>
            <a:off x="15763875" y="695325"/>
            <a:ext cx="180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ORDINI IN STAND-BY</a:t>
            </a:r>
          </a:p>
        </xdr:txBody>
      </xdr:sp>
      <xdr:sp macro="[0]!filtro2" textlink="">
        <xdr:nvSpPr>
          <xdr:cNvPr id="98" name="filtro1"/>
          <xdr:cNvSpPr/>
        </xdr:nvSpPr>
        <xdr:spPr>
          <a:xfrm>
            <a:off x="13144500" y="685800"/>
            <a:ext cx="252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FATTURE</a:t>
            </a:r>
            <a:r>
              <a:rPr lang="it-IT" sz="800" b="1" baseline="0">
                <a:solidFill>
                  <a:sysClr val="windowText" lastClr="000000"/>
                </a:solidFill>
              </a:rPr>
              <a:t> DI ACQUISTO DALLA PIU' RECENTE</a:t>
            </a:r>
            <a:endParaRPr lang="it-IT" sz="8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99" name="titolo"/>
          <xdr:cNvSpPr txBox="1"/>
        </xdr:nvSpPr>
        <xdr:spPr>
          <a:xfrm>
            <a:off x="15982950" y="95250"/>
            <a:ext cx="1552575" cy="28800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2857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r"/>
            <a:r>
              <a:rPr lang="it-IT" sz="1800" b="1" u="sng">
                <a:solidFill>
                  <a:srgbClr val="0070C0"/>
                </a:solidFill>
              </a:rPr>
              <a:t>FILTRI</a:t>
            </a:r>
            <a:r>
              <a:rPr lang="it-IT" sz="1800" b="1" u="sng" baseline="0">
                <a:solidFill>
                  <a:srgbClr val="0070C0"/>
                </a:solidFill>
              </a:rPr>
              <a:t> RAPIDI</a:t>
            </a:r>
            <a:endParaRPr lang="it-IT" sz="1800" b="1" u="sng">
              <a:solidFill>
                <a:srgbClr val="0070C0"/>
              </a:solidFill>
            </a:endParaRPr>
          </a:p>
        </xdr:txBody>
      </xdr:sp>
      <xdr:sp macro="[0]!filtro3" textlink="">
        <xdr:nvSpPr>
          <xdr:cNvPr id="101" name="filtro2"/>
          <xdr:cNvSpPr/>
        </xdr:nvSpPr>
        <xdr:spPr>
          <a:xfrm>
            <a:off x="15763875" y="981075"/>
            <a:ext cx="1800000" cy="209550"/>
          </a:xfrm>
          <a:prstGeom prst="roundRect">
            <a:avLst/>
          </a:prstGeom>
          <a:ln w="28575">
            <a:noFill/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CAMPIONATURE</a:t>
            </a:r>
          </a:p>
        </xdr:txBody>
      </xdr:sp>
      <xdr:sp macro="" textlink="">
        <xdr:nvSpPr>
          <xdr:cNvPr id="110" name="filtro2"/>
          <xdr:cNvSpPr/>
        </xdr:nvSpPr>
        <xdr:spPr>
          <a:xfrm>
            <a:off x="13144500" y="981075"/>
            <a:ext cx="792000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2022</a:t>
            </a:r>
          </a:p>
        </xdr:txBody>
      </xdr:sp>
      <xdr:sp macro="" textlink="">
        <xdr:nvSpPr>
          <xdr:cNvPr id="111" name="filtro2"/>
          <xdr:cNvSpPr/>
        </xdr:nvSpPr>
        <xdr:spPr>
          <a:xfrm>
            <a:off x="14006513" y="981075"/>
            <a:ext cx="792000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2023</a:t>
            </a:r>
          </a:p>
        </xdr:txBody>
      </xdr:sp>
      <xdr:sp macro="" textlink="">
        <xdr:nvSpPr>
          <xdr:cNvPr id="112" name="filtro2"/>
          <xdr:cNvSpPr/>
        </xdr:nvSpPr>
        <xdr:spPr>
          <a:xfrm>
            <a:off x="14868525" y="981075"/>
            <a:ext cx="792000" cy="209550"/>
          </a:xfrm>
          <a:prstGeom prst="roundRect">
            <a:avLst/>
          </a:prstGeom>
          <a:ln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800" b="1">
                <a:solidFill>
                  <a:sysClr val="windowText" lastClr="000000"/>
                </a:solidFill>
              </a:rPr>
              <a:t>2024</a:t>
            </a:r>
          </a:p>
        </xdr:txBody>
      </xdr:sp>
    </xdr:grpSp>
    <xdr:clientData/>
  </xdr:twoCellAnchor>
  <xdr:twoCellAnchor editAs="absolute">
    <xdr:from>
      <xdr:col>1</xdr:col>
      <xdr:colOff>0</xdr:colOff>
      <xdr:row>0</xdr:row>
      <xdr:rowOff>0</xdr:rowOff>
    </xdr:from>
    <xdr:to>
      <xdr:col>5</xdr:col>
      <xdr:colOff>28575</xdr:colOff>
      <xdr:row>6</xdr:row>
      <xdr:rowOff>18029</xdr:rowOff>
    </xdr:to>
    <xdr:pic>
      <xdr:nvPicPr>
        <xdr:cNvPr id="103" name="logoCoppoListone" descr="Immagine che contiene testo, Carattere, Elementi grafici, logo&#10;&#10;Descrizione generata automaticamente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181225" cy="79907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tephane" refreshedDate="45390.4937587963" createdVersion="3" refreshedVersion="3" minRefreshableVersion="3" recordCount="26">
  <cacheSource type="worksheet">
    <worksheetSource name="orderHistory"/>
  </cacheSource>
  <cacheFields count="46">
    <cacheField name="order_no" numFmtId="0">
      <sharedItems containsSemiMixedTypes="0" containsString="0" containsNumber="1" containsInteger="1" minValue="2" maxValue="28" count="26">
        <n v="25"/>
        <n v="23"/>
        <n v="15"/>
        <n v="13"/>
        <n v="22"/>
        <n v="24"/>
        <n v="27"/>
        <n v="28"/>
        <n v="26"/>
        <n v="21"/>
        <n v="17"/>
        <n v="14"/>
        <n v="12"/>
        <n v="11"/>
        <n v="20"/>
        <n v="8"/>
        <n v="19"/>
        <n v="7"/>
        <n v="6"/>
        <n v="5"/>
        <n v="9"/>
        <n v="18"/>
        <n v="4"/>
        <n v="3"/>
        <n v="10"/>
        <n v="2"/>
      </sharedItems>
    </cacheField>
    <cacheField name="order_date" numFmtId="14">
      <sharedItems containsSemiMixedTypes="0" containsNonDate="0" containsDate="1" containsString="0" minDate="2024-01-08T00:00:00" maxDate="2024-04-09T00:00:00" count="18">
        <d v="2024-04-08T00:00:00"/>
        <d v="2024-03-20T00:00:00"/>
        <d v="2024-03-07T00:00:00"/>
        <d v="2024-03-18T00:00:00"/>
        <d v="2024-03-28T00:00:00"/>
        <d v="2024-03-25T00:00:00"/>
        <d v="2024-03-22T00:00:00"/>
        <d v="2024-03-13T00:00:00"/>
        <d v="2024-03-04T00:00:00"/>
        <d v="2024-03-01T00:00:00"/>
        <d v="2024-02-22T00:00:00"/>
        <d v="2024-02-21T00:00:00"/>
        <d v="2024-02-20T00:00:00"/>
        <d v="2024-02-13T00:00:00"/>
        <d v="2024-02-06T00:00:00"/>
        <d v="2024-02-05T00:00:00"/>
        <d v="2024-01-09T00:00:00"/>
        <d v="2024-01-08T00:00:00"/>
      </sharedItems>
    </cacheField>
    <cacheField name="customer" numFmtId="0">
      <sharedItems count="17">
        <s v="DRUNI"/>
        <s v="APPAREL FZCO"/>
        <s v="BLUE OCEAN UK"/>
        <s v="PANABEL PNM"/>
        <s v="ORCOS"/>
        <s v="LUXUM BEAUTY - ULM"/>
        <s v="4BEAUTY4YOU"/>
        <s v="AURIA"/>
        <s v="BEAUTY &amp; LUXURY"/>
        <s v="MAKEUP"/>
        <s v="NOOS"/>
        <s v="CIELOMED"/>
        <s v="LUXUM BEAUTY - HAMBURG"/>
        <s v="PER SCENT"/>
        <s v="GILMUR COMPANY"/>
        <s v="LINDO CHAIN"/>
        <s v="PRESTIGE BRANDS"/>
      </sharedItems>
    </cacheField>
    <cacheField name="currency" numFmtId="0">
      <sharedItems containsBlank="1"/>
    </cacheField>
    <cacheField name="exchange_rate" numFmtId="187">
      <sharedItems containsString="0" containsBlank="1" containsNumber="1" minValue="0.85660000000000003" maxValue="0.85660000000000003"/>
    </cacheField>
    <cacheField name="carton_no" numFmtId="0">
      <sharedItems containsString="0" containsBlank="1" containsNumber="1" containsInteger="1" minValue="0" maxValue="554"/>
    </cacheField>
    <cacheField name="incoterms" numFmtId="0">
      <sharedItems containsBlank="1"/>
    </cacheField>
    <cacheField name="pallet_type" numFmtId="170">
      <sharedItems count="3">
        <s v="80x120"/>
        <s v="100x120"/>
        <s v="NO PALLET"/>
      </sharedItems>
    </cacheField>
    <cacheField name="pallet_no" numFmtId="1">
      <sharedItems containsString="0" containsBlank="1" containsNumber="1" containsInteger="1" minValue="0" maxValue="23"/>
    </cacheField>
    <cacheField name="pallet_cost" numFmtId="170">
      <sharedItems containsSemiMixedTypes="0" containsString="0" containsNumber="1" containsInteger="1" minValue="10" maxValue="10"/>
    </cacheField>
    <cacheField name="pallet_mov_cost" numFmtId="170">
      <sharedItems containsSemiMixedTypes="0" containsString="0" containsNumber="1" containsInteger="1" minValue="4" maxValue="4"/>
    </cacheField>
    <cacheField name="net_weight" numFmtId="2">
      <sharedItems containsString="0" containsBlank="1" containsNumber="1" containsInteger="1" minValue="0" maxValue="9469"/>
    </cacheField>
    <cacheField name="gross_weight" numFmtId="2">
      <sharedItems containsString="0" containsBlank="1" containsNumber="1" containsInteger="1" minValue="0" maxValue="10115"/>
    </cacheField>
    <cacheField name="logistic_notes" numFmtId="0">
      <sharedItems containsBlank="1"/>
    </cacheField>
    <cacheField name="carrier_name" numFmtId="0">
      <sharedItems containsBlank="1"/>
    </cacheField>
    <cacheField name="carrier_cost" numFmtId="170">
      <sharedItems containsString="0" containsBlank="1" containsNumber="1" minValue="0" maxValue="1280"/>
    </cacheField>
    <cacheField name="on_bhpc_behalf" numFmtId="170">
      <sharedItems containsBlank="1"/>
    </cacheField>
    <cacheField name="status" numFmtId="170">
      <sharedItems count="3">
        <s v="ON WAITING"/>
        <s v="SHIPPED"/>
        <s v="DELIVERED"/>
      </sharedItems>
    </cacheField>
    <cacheField name="sub_status" numFmtId="170">
      <sharedItems/>
    </cacheField>
    <cacheField name="invoice_no" numFmtId="0">
      <sharedItems containsString="0" containsBlank="1" containsNumber="1" containsInteger="1" minValue="0" maxValue="823168" count="20">
        <m/>
        <n v="0"/>
        <n v="113"/>
        <n v="100"/>
        <n v="98"/>
        <n v="111"/>
        <n v="74"/>
        <n v="90"/>
        <n v="50"/>
        <n v="823168"/>
        <n v="49"/>
        <n v="46"/>
        <n v="41"/>
        <n v="55"/>
        <n v="12408"/>
        <n v="6"/>
        <n v="5"/>
        <n v="56"/>
        <n v="3"/>
        <n v="89" u="1"/>
      </sharedItems>
    </cacheField>
    <cacheField name="invoice_date" numFmtId="14">
      <sharedItems containsNonDate="0" containsDate="1" containsString="0" containsBlank="1" minDate="1899-12-30T00:00:00" maxDate="2024-04-05T00:00:00" count="16">
        <m/>
        <d v="1899-12-30T00:00:00"/>
        <d v="2024-04-04T00:00:00"/>
        <d v="2024-03-28T00:00:00"/>
        <d v="2024-03-25T00:00:00"/>
        <d v="2024-03-22T00:00:00"/>
        <d v="2024-03-08T00:00:00"/>
        <d v="2024-03-13T00:00:00"/>
        <d v="2024-02-22T00:00:00"/>
        <d v="2024-02-21T00:00:00"/>
        <d v="2024-02-20T00:00:00"/>
        <d v="2024-02-13T00:00:00"/>
        <d v="2024-02-27T00:00:00"/>
        <d v="2024-02-05T00:00:00"/>
        <d v="2024-01-09T00:00:00"/>
        <d v="2024-01-08T00:00:00"/>
      </sharedItems>
    </cacheField>
    <cacheField name="order_type" numFmtId="14">
      <sharedItems count="3">
        <s v="SALE"/>
        <s v="SAMPLING"/>
        <s v="SUPPLY"/>
      </sharedItems>
    </cacheField>
    <cacheField name="payment_type" numFmtId="0">
      <sharedItems containsBlank="1"/>
    </cacheField>
    <cacheField name="payment_date" numFmtId="14">
      <sharedItems containsNonDate="0" containsString="0" containsBlank="1" count="1">
        <m/>
      </sharedItems>
    </cacheField>
    <cacheField name="payed" numFmtId="14">
      <sharedItems count="2">
        <b v="0"/>
        <b v="1"/>
      </sharedItems>
    </cacheField>
    <cacheField name="cost_of_goods" numFmtId="170">
      <sharedItems containsString="0" containsBlank="1" containsNumber="1" minValue="0" maxValue="232815.57"/>
    </cacheField>
    <cacheField name="amount_sold" numFmtId="170">
      <sharedItems containsString="0" containsBlank="1" containsNumber="1" minValue="0" maxValue="91392"/>
    </cacheField>
    <cacheField name="profit" numFmtId="170">
      <sharedItems containsString="0" containsBlank="1" containsNumber="1" minValue="-232815.57" maxValue="22500"/>
    </cacheField>
    <cacheField name="labour_hours" numFmtId="1">
      <sharedItems containsString="0" containsBlank="1" containsNumber="1" containsInteger="1" minValue="0" maxValue="80"/>
    </cacheField>
    <cacheField name="labour_cost_per_hour" numFmtId="170">
      <sharedItems containsString="0" containsBlank="1" containsNumber="1" containsInteger="1" minValue="0" maxValue="23"/>
    </cacheField>
    <cacheField name="labour_cost_desc" numFmtId="170">
      <sharedItems containsBlank="1"/>
    </cacheField>
    <cacheField name="other_hours" numFmtId="170">
      <sharedItems containsString="0" containsBlank="1" containsNumber="1" containsInteger="1" minValue="0" maxValue="0"/>
    </cacheField>
    <cacheField name="other_cost_per_hour" numFmtId="170">
      <sharedItems containsString="0" containsBlank="1" containsNumber="1" containsInteger="1" minValue="0" maxValue="0"/>
    </cacheField>
    <cacheField name="other_cost_desc" numFmtId="170">
      <sharedItems containsBlank="1"/>
    </cacheField>
    <cacheField name="order_notes" numFmtId="170">
      <sharedItems containsNonDate="0" containsString="0" containsBlank="1"/>
    </cacheField>
    <cacheField name="shipping_method" numFmtId="170">
      <sharedItems/>
    </cacheField>
    <cacheField name="accountable" numFmtId="170">
      <sharedItems/>
    </cacheField>
    <cacheField name="vessel_name" numFmtId="170">
      <sharedItems containsNonDate="0" containsString="0" containsBlank="1"/>
    </cacheField>
    <cacheField name="container_no" numFmtId="170">
      <sharedItems containsNonDate="0" containsString="0" containsBlank="1"/>
    </cacheField>
    <cacheField name="container_type" numFmtId="170">
      <sharedItems containsNonDate="0" containsString="0" containsBlank="1"/>
    </cacheField>
    <cacheField name="seal_no" numFmtId="170">
      <sharedItems containsNonDate="0" containsString="0" containsBlank="1"/>
    </cacheField>
    <cacheField name="expected_profit" numFmtId="0" formula="amount_sold* 7%" databaseField="0"/>
    <cacheField name="differences_from_expected" numFmtId="0" formula="expected_profit-profit" databaseField="0"/>
    <cacheField name="tot_labor_cost" numFmtId="0" formula="labour_hours*labour_cost_per_hour" databaseField="0"/>
    <cacheField name="tot_pallets_cost" numFmtId="0" formula="pallet_no*pallet_cost" databaseField="0"/>
    <cacheField name="tot_pallet_mov_cost" numFmtId="0" formula="pallet_no*pallet_mov_cost" databaseField="0"/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tephane" refreshedDate="45408.738016898147" createdVersion="3" refreshedVersion="3" minRefreshableVersion="3" recordCount="258">
  <cacheSource type="worksheet">
    <worksheetSource name="salesHistory"/>
  </cacheSource>
  <cacheFields count="21">
    <cacheField name="order_no" numFmtId="1">
      <sharedItems containsSemiMixedTypes="0" containsString="0" containsNumber="1" containsInteger="1" minValue="1" maxValue="37" count="34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6"/>
        <n v="17"/>
        <n v="18"/>
        <n v="20"/>
        <n v="22"/>
        <n v="23"/>
        <n v="24"/>
        <n v="25"/>
        <n v="26"/>
        <n v="27"/>
        <n v="28"/>
        <n v="29"/>
        <n v="30"/>
        <n v="32"/>
        <n v="33"/>
        <n v="34"/>
        <n v="35"/>
        <n v="36"/>
        <n v="37"/>
        <n v="15"/>
      </sharedItems>
    </cacheField>
    <cacheField name="sku" numFmtId="49">
      <sharedItems count="71">
        <s v="P05004"/>
        <s v="P05006"/>
        <s v="P05008"/>
        <s v="P05010"/>
        <s v="P05029"/>
        <s v="P05050"/>
        <s v="P05051"/>
        <s v="P06020"/>
        <s v="P06021"/>
        <s v="PBM001"/>
        <s v="PBM008"/>
        <s v="P06000"/>
        <s v="P06001"/>
        <s v="P06002"/>
        <s v="P06003"/>
        <s v="P06004"/>
        <s v="P06005"/>
        <s v="P06006"/>
        <s v="P06007"/>
        <s v="GSTRO3"/>
        <s v="PT6020"/>
        <s v="PT6021"/>
        <s v="P05005"/>
        <s v="P05007"/>
        <s v="GS5008"/>
        <s v="GS5009"/>
        <s v="GS5010"/>
        <s v="GS5011"/>
        <s v="GS5028"/>
        <s v="GS5029"/>
        <s v="P05052"/>
        <s v="P05053"/>
        <s v="GS5030"/>
        <s v="GS5031"/>
        <s v="GS7020"/>
        <s v="PBM002"/>
        <s v="PBM009"/>
        <s v="GS5004"/>
        <s v="GS5005"/>
        <s v="GS5006"/>
        <s v="GS5007"/>
        <s v="GS5050"/>
        <s v="P05026"/>
        <s v="GS7024"/>
        <s v="Y00007"/>
        <s v="Y00009"/>
        <s v="P05000"/>
        <s v="P05001"/>
        <s v="P05002"/>
        <s v="P05003"/>
        <s v="P07000"/>
        <s v="P07001"/>
        <s v="P07002"/>
        <s v="P07003"/>
        <s v="P05009"/>
        <s v="P05011"/>
        <s v="P05028"/>
        <s v="P05030"/>
        <s v="P05031"/>
        <s v="P06012"/>
        <s v="P06008"/>
        <s v="P06009"/>
        <s v="P06010"/>
        <s v="P06011"/>
        <s v="P06013"/>
        <s v="P06014"/>
        <s v="P06015"/>
        <s v="GS5051"/>
        <s v="GS5052"/>
        <s v="GS5053"/>
        <s v="P05024"/>
      </sharedItems>
    </cacheField>
    <cacheField name="description" numFmtId="49">
      <sharedItems count="71">
        <s v="BHPC SPORT MEN 1 EDT 100ML"/>
        <s v="BHPC SPORT MEN 8 EDT 100ML"/>
        <s v="BHPC SPORT MEN 1 EDT 50ML"/>
        <s v="BHPC SPORT MEN 8 EDT 50ML"/>
        <s v="BHPC WOMEN 9 EDP 50ML"/>
        <s v="BHPC WOMEN 1 EDP 100ML"/>
        <s v="BHPC WOMEN 9 EDP 100ML"/>
        <s v="BHPC PRESTIGE KNIGHT 100ML EDP MEN"/>
        <s v="BHPC PRESTIGE ROYALE 100ML EDP MEN"/>
        <s v="BHPC WOMEN BODY MIST #1 EVOKING GARDENIA 200ML"/>
        <s v="BHPC WOMEN BODY MIST #8 EXOTIC FRAGRANCE 200ML"/>
        <s v="BHPC PRESTIGE TROPHY 100ML EDP MEN"/>
        <s v="BHPC PRESTIGE HERITAGE OUD 100ML EDP MEN"/>
        <s v="BHPC PRESTIGE TOUR INTENSE 100ML EDP MEN"/>
        <s v="BHPC PRESTIGE TITAN 100ML EDP MEN"/>
        <s v="BHPC PRESTIGE ELEGANCE 100ML EDP WOMEN"/>
        <s v="BHPC PRESTIGE CHALLENGE 100ML EDP WOMEN"/>
        <s v="BHPC PRESTIGE MYSTIQUE 100ML EDP WOMEN"/>
        <s v="BHPC PRESTIGE PASSION 100ML EDP WOMEN"/>
        <s v="BHPC GIFTSET PRESTIGE TROPHY EDP100ML + DEO 300ML "/>
        <s v="BHPC TESTERS KNIGHT 100ML EDP MEN"/>
        <s v="BHPC TESTERS ROYALE 100ML EDP MEN"/>
        <s v="BHPC SPORT MEN 9 EDT 100ML"/>
        <s v="BHPC SPORT MEN 2 EDT 100ML"/>
        <s v="BHPC GIFT SET SPORT MEN 1 EDT 50ML + DEO 175ML"/>
        <s v="BHPC GIFT SET SPORT MEN 9 EDT 50ML + DEO 175ML"/>
        <s v="BHPC GIFT SET SPORT MEN 8 EDT 50ML + DEO 175ML"/>
        <s v="BHPC GIFT SET SPORT MEN 2 EDT 50ML + DEO 175ML"/>
        <s v="BHPC GIFT SET WOMEN 1 EDP 50ML + DEO 150ML"/>
        <s v="BHPC GIFT SET WOMEN 9 EDP 50ML + DEO 150ML"/>
        <s v="BHPC WOMEN 8 EDP 100ML"/>
        <s v="BHPC WOMEN 2 EDP 100ML"/>
        <s v="BHPC GIFT SET WOMEN 8 EDP 50ML + DEO 150ML"/>
        <s v="BHPC GIFT SET WOMEN 2 EDP 50ML + DEO 150ML"/>
        <s v="BHPC GIFT SET MEN #1 EDT50ML+DEO175ML+ROLLON50ML"/>
        <s v="BHPC WOMEN BODY MIST #2 CLASSIC FOUGERE 200ML"/>
        <s v="BHPC WOMEN BODY MIST #9 SPARKING FLORAL 200ML"/>
        <s v="BHPC GIFT SET SPORT MEN 1 EDT 100ML + DEO 175ML"/>
        <s v="BHPC GIFT SET SPORT MEN 9 EDT 100ML + DEO 175ML"/>
        <s v="BHPC GIFT SET SPORT MEN 8 EDT 100ML + DEO 175ML"/>
        <s v="BHPC GIFT SET SPORT MEN 2 EDT 100ML + DEO 175ML"/>
        <s v="BHPC GIFT SET WOMEN 1 EDP 100ML + DEO 150ML"/>
        <s v="BHPC WOMEN 8 DEO 150ML"/>
        <s v="BHPC GIFT SET WOMEN #1 EDP50ML+DEO150ML+ROLLON50ML"/>
        <s v="YB2313A BHPC SUNGLASSES SATIN NAVY / SOLID SMOKE"/>
        <s v="YB2313C BHPC SUNGLASSES BLACK/GUN / SOLID GREEN"/>
        <s v="BHPC SPORT MEN 1 DEO 175ML"/>
        <s v="BHPC SPORT MEN 9 DEO 175ML"/>
        <s v="BHPC SPORT MEN 8 DEO 175ML"/>
        <s v="BHPC SPORT MEN 2 DEO 175ML"/>
        <s v="BHPC MEN ROLL-ON 1 50ML"/>
        <s v="BHPC MEN ROLL-ON 9 50ML"/>
        <s v="BHPC MEN ROLL-ON 8 50ML"/>
        <s v="BHPC MEN ROLL-ON 2 50ML"/>
        <s v="BHPC SPORT MEN 9 EDT 50ML"/>
        <s v="BHPC SPORT MEN 2 EDT 50ML"/>
        <s v="BHPC WOMEN 1 EDP 50ML"/>
        <s v="BHPC WOMEN 8 EDP 50ML"/>
        <s v="BHPC WOMEN 2 EDP 50ML"/>
        <s v="BHPC TROPHY DEO 300ML"/>
        <s v="BHPC ELEGANCE HAIR MIST 250ML"/>
        <s v="BHPC CHALLENGE BODY MIST 250ML"/>
        <s v="BHPC MYSTIQUE BODY MIST 250ML"/>
        <s v="BHPC PASSION BODY MIST 250ML"/>
        <s v="BHPC HERITAGE OUD DEO 300ML"/>
        <s v="BHPC TOUR DEO 300ML"/>
        <s v="BHPC TITAN DEO 300ML"/>
        <s v="BHPC GIFT SET WOMEN 9 EDP 100ML + DEO 150ML"/>
        <s v="BHPC GIFT SET WOMEN 8 EDP 100ML + DEO 150ML"/>
        <s v="BHPC GIFT SET WOMEN 2 EDP 100ML + DEO 150ML"/>
        <s v="BHPC WOMEN 1 DEO 150ML"/>
      </sharedItems>
    </cacheField>
    <cacheField name="qty" numFmtId="1">
      <sharedItems containsString="0" containsBlank="1" containsNumber="1" containsInteger="1" minValue="12" maxValue="24828"/>
    </cacheField>
    <cacheField name="sale_price" numFmtId="170">
      <sharedItems containsString="0" containsBlank="1" containsNumber="1" minValue="1" maxValue="22.5"/>
    </cacheField>
    <cacheField name="disc_qty" numFmtId="1">
      <sharedItems containsBlank="1" containsMixedTypes="1" containsNumber="1" containsInteger="1" minValue="12" maxValue="246"/>
    </cacheField>
    <cacheField name="disc_price" numFmtId="170">
      <sharedItems containsBlank="1" containsMixedTypes="1" containsNumber="1" minValue="0.57999999999999996" maxValue="6.25"/>
    </cacheField>
    <cacheField name="foc_qty" numFmtId="1">
      <sharedItems containsString="0" containsBlank="1" containsNumber="1" containsInteger="1" minValue="1" maxValue="226"/>
    </cacheField>
    <cacheField name="cts" numFmtId="1">
      <sharedItems containsString="0" containsBlank="1" containsNumber="1" containsInteger="1" minValue="0" maxValue="518"/>
    </cacheField>
    <cacheField name="cts_foc" numFmtId="1">
      <sharedItems containsString="0" containsBlank="1" containsNumber="1" containsInteger="1" minValue="0" maxValue="10"/>
    </cacheField>
    <cacheField name="net_weight" numFmtId="1">
      <sharedItems containsString="0" containsBlank="1" containsNumber="1" minValue="0" maxValue="2232.145"/>
    </cacheField>
    <cacheField name="gross_weight" numFmtId="1">
      <sharedItems containsString="0" containsBlank="1" containsNumber="1" minValue="0" maxValue="2562.5"/>
    </cacheField>
    <cacheField name="cbm" numFmtId="1">
      <sharedItems containsString="0" containsBlank="1" containsNumber="1" minValue="0" maxValue="9.1999999999999993"/>
    </cacheField>
    <cacheField name="category" numFmtId="1">
      <sharedItems count="8">
        <s v="MASTIGE"/>
        <s v="PRESTIGE"/>
        <s v="BODYMIST"/>
        <s v="GIFTSET"/>
        <s v="TESTER"/>
        <s v="DEODORANT"/>
        <s v="0"/>
        <s v="ROLL-ON"/>
      </sharedItems>
    </cacheField>
    <cacheField name="size" numFmtId="1">
      <sharedItems containsSemiMixedTypes="0" containsString="0" containsNumber="1" containsInteger="1" minValue="0" maxValue="200"/>
    </cacheField>
    <cacheField name="hs_code" numFmtId="1">
      <sharedItems containsBlank="1" containsMixedTypes="1" containsNumber="1" containsInteger="1" minValue="0" maxValue="33072000"/>
    </cacheField>
    <cacheField name="cost_price" numFmtId="170">
      <sharedItems containsString="0" containsBlank="1" containsNumber="1" minValue="0" maxValue="20448"/>
    </cacheField>
    <cacheField name="tot. Cost" numFmtId="170">
      <sharedItems containsString="0" containsBlank="1" containsNumber="1" minValue="0" maxValue="45000"/>
    </cacheField>
    <cacheField name="tot. Sold" numFmtId="170">
      <sharedItems containsString="0" containsBlank="1" containsNumber="1" minValue="0" maxValue="66003.679999999993"/>
    </cacheField>
    <cacheField name="order_type" numFmtId="170">
      <sharedItems count="4">
        <s v=""/>
        <s v="SALE"/>
        <s v="SUPPLY"/>
        <s v="SAMPLING"/>
      </sharedItems>
    </cacheField>
    <cacheField name="qty_tot_exit" numFmtId="0" formula="qty+disc_qty+foc_qty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6">
  <r>
    <x v="0"/>
    <x v="0"/>
    <x v="0"/>
    <s v="EUR"/>
    <m/>
    <m/>
    <s v="CIP CARRETERA CRUZ NEGRA, 15, 46240 CARLET, VALENCIA SPAIN"/>
    <x v="0"/>
    <m/>
    <n v="10"/>
    <n v="4"/>
    <n v="553"/>
    <n v="577"/>
    <m/>
    <m/>
    <m/>
    <m/>
    <x v="0"/>
    <s v="Order Confirmed"/>
    <x v="0"/>
    <x v="0"/>
    <x v="0"/>
    <s v="60DD - DELIVERY DATE"/>
    <x v="0"/>
    <x v="0"/>
    <n v="16340.32"/>
    <n v="15300"/>
    <n v="-1040.32"/>
    <m/>
    <m/>
    <m/>
    <m/>
    <m/>
    <m/>
    <m/>
    <s v="BY ROAD"/>
    <b v="1"/>
    <m/>
    <m/>
    <m/>
    <m/>
  </r>
  <r>
    <x v="1"/>
    <x v="1"/>
    <x v="1"/>
    <s v="EUR"/>
    <m/>
    <n v="3"/>
    <s v="EXW VENTIMIGLIA - ITALY"/>
    <x v="1"/>
    <n v="3"/>
    <n v="10"/>
    <n v="4"/>
    <n v="0"/>
    <n v="0"/>
    <s v="74Kg peso lordo. Da aggiungere il peso del pallet."/>
    <m/>
    <n v="0"/>
    <b v="0"/>
    <x v="0"/>
    <s v="Pallets Ready"/>
    <x v="1"/>
    <x v="1"/>
    <x v="0"/>
    <s v="024 - IN ADVANCE"/>
    <x v="0"/>
    <x v="0"/>
    <n v="0"/>
    <n v="0"/>
    <n v="0"/>
    <n v="0"/>
    <n v="0"/>
    <m/>
    <n v="0"/>
    <n v="0"/>
    <m/>
    <m/>
    <s v="BY ROAD"/>
    <b v="1"/>
    <m/>
    <m/>
    <m/>
    <m/>
  </r>
  <r>
    <x v="2"/>
    <x v="2"/>
    <x v="2"/>
    <s v="GBP"/>
    <m/>
    <n v="1"/>
    <m/>
    <x v="0"/>
    <n v="2"/>
    <n v="10"/>
    <n v="4"/>
    <n v="592"/>
    <n v="619"/>
    <m/>
    <m/>
    <n v="0"/>
    <b v="0"/>
    <x v="0"/>
    <s v="Pallets Ready"/>
    <x v="1"/>
    <x v="1"/>
    <x v="0"/>
    <m/>
    <x v="0"/>
    <x v="0"/>
    <n v="17520"/>
    <n v="20250"/>
    <n v="2730"/>
    <n v="0"/>
    <n v="0"/>
    <m/>
    <n v="0"/>
    <n v="0"/>
    <m/>
    <m/>
    <s v="BY ROAD"/>
    <b v="1"/>
    <m/>
    <m/>
    <m/>
    <m/>
  </r>
  <r>
    <x v="3"/>
    <x v="2"/>
    <x v="3"/>
    <s v="USD"/>
    <m/>
    <n v="377"/>
    <s v="EXW VENTIMIGLIA - ITALY"/>
    <x v="1"/>
    <n v="0"/>
    <n v="10"/>
    <n v="4"/>
    <n v="2256"/>
    <n v="2523"/>
    <m/>
    <m/>
    <n v="0"/>
    <b v="0"/>
    <x v="0"/>
    <s v="Order Confirmed"/>
    <x v="1"/>
    <x v="1"/>
    <x v="0"/>
    <s v="024 - IN ADVANCE"/>
    <x v="0"/>
    <x v="0"/>
    <n v="35160.559999999998"/>
    <n v="34736.28"/>
    <n v="-424.28"/>
    <n v="0"/>
    <n v="0"/>
    <m/>
    <n v="0"/>
    <n v="0"/>
    <m/>
    <m/>
    <s v="BY ROAD"/>
    <b v="1"/>
    <m/>
    <m/>
    <m/>
    <m/>
  </r>
  <r>
    <x v="4"/>
    <x v="3"/>
    <x v="4"/>
    <m/>
    <m/>
    <n v="1"/>
    <m/>
    <x v="2"/>
    <n v="0"/>
    <n v="10"/>
    <n v="4"/>
    <n v="12"/>
    <n v="12"/>
    <s v="https://www.mbe.it/it/tracking?c=641176034"/>
    <s v="MBE"/>
    <n v="160"/>
    <b v="1"/>
    <x v="1"/>
    <s v="Shipped"/>
    <x v="1"/>
    <x v="1"/>
    <x v="1"/>
    <m/>
    <x v="0"/>
    <x v="1"/>
    <n v="350.4"/>
    <n v="0"/>
    <n v="-350.4"/>
    <n v="0"/>
    <n v="0"/>
    <m/>
    <n v="0"/>
    <n v="0"/>
    <m/>
    <m/>
    <s v="BY ROAD"/>
    <b v="1"/>
    <m/>
    <m/>
    <m/>
    <m/>
  </r>
  <r>
    <x v="5"/>
    <x v="0"/>
    <x v="5"/>
    <s v="EUR"/>
    <m/>
    <n v="150"/>
    <s v="CIP ULM-JUNGINGEN, GERMANY"/>
    <x v="0"/>
    <n v="13"/>
    <n v="10"/>
    <n v="4"/>
    <n v="2190"/>
    <n v="2562"/>
    <m/>
    <s v="Fercam"/>
    <n v="1280"/>
    <b v="1"/>
    <x v="2"/>
    <s v="Closed"/>
    <x v="2"/>
    <x v="2"/>
    <x v="0"/>
    <s v="NET30"/>
    <x v="0"/>
    <x v="1"/>
    <n v="45000"/>
    <n v="67500"/>
    <n v="22500"/>
    <n v="0"/>
    <n v="0"/>
    <m/>
    <n v="0"/>
    <n v="0"/>
    <m/>
    <m/>
    <s v="BY ROAD"/>
    <b v="1"/>
    <m/>
    <m/>
    <m/>
    <m/>
  </r>
  <r>
    <x v="6"/>
    <x v="4"/>
    <x v="6"/>
    <s v="EUR"/>
    <m/>
    <n v="0"/>
    <s v="FOT VENTIMIGLIA - ITALY"/>
    <x v="0"/>
    <n v="0"/>
    <n v="10"/>
    <n v="4"/>
    <n v="0"/>
    <n v="0"/>
    <s v="Ordine partito direttamente dai depositi di Auria."/>
    <m/>
    <n v="0"/>
    <b v="0"/>
    <x v="2"/>
    <s v="Closed"/>
    <x v="3"/>
    <x v="3"/>
    <x v="0"/>
    <s v="024 - IN ADVANCE"/>
    <x v="0"/>
    <x v="1"/>
    <n v="84994.559999999998"/>
    <n v="91392"/>
    <n v="6397.44"/>
    <n v="0"/>
    <n v="0"/>
    <m/>
    <n v="0"/>
    <n v="0"/>
    <m/>
    <m/>
    <s v="BY ROAD"/>
    <b v="1"/>
    <m/>
    <m/>
    <m/>
    <m/>
  </r>
  <r>
    <x v="7"/>
    <x v="5"/>
    <x v="7"/>
    <s v="EUR"/>
    <m/>
    <n v="0"/>
    <m/>
    <x v="1"/>
    <n v="23"/>
    <n v="10"/>
    <n v="4"/>
    <n v="9469"/>
    <n v="10115"/>
    <m/>
    <m/>
    <n v="0"/>
    <b v="0"/>
    <x v="2"/>
    <s v="Closed"/>
    <x v="1"/>
    <x v="4"/>
    <x v="2"/>
    <m/>
    <x v="0"/>
    <x v="1"/>
    <n v="232815.57"/>
    <n v="0"/>
    <n v="-232815.57"/>
    <n v="0"/>
    <n v="0"/>
    <m/>
    <n v="0"/>
    <n v="0"/>
    <m/>
    <m/>
    <s v="BY ROAD"/>
    <b v="1"/>
    <m/>
    <m/>
    <m/>
    <m/>
  </r>
  <r>
    <x v="8"/>
    <x v="6"/>
    <x v="6"/>
    <s v="EUR"/>
    <m/>
    <n v="0"/>
    <s v="FOT VENTIMIGLIA - ITALY"/>
    <x v="0"/>
    <n v="0"/>
    <n v="10"/>
    <n v="4"/>
    <n v="6966"/>
    <n v="7216"/>
    <s v="Ordine partito direttamente dai depositi di Auria."/>
    <m/>
    <n v="0"/>
    <b v="0"/>
    <x v="2"/>
    <s v="Closed"/>
    <x v="4"/>
    <x v="5"/>
    <x v="0"/>
    <s v="024 - IN ADVANCE"/>
    <x v="0"/>
    <x v="1"/>
    <n v="51240.959999999999"/>
    <n v="47915.519999999997"/>
    <n v="-3325.44"/>
    <n v="0"/>
    <n v="0"/>
    <m/>
    <n v="0"/>
    <n v="0"/>
    <m/>
    <m/>
    <s v="BY ROAD"/>
    <b v="1"/>
    <m/>
    <m/>
    <m/>
    <m/>
  </r>
  <r>
    <x v="9"/>
    <x v="3"/>
    <x v="8"/>
    <s v="EUR"/>
    <m/>
    <n v="1"/>
    <s v="FOT VENTIMIGLIA - ITALY"/>
    <x v="2"/>
    <n v="0"/>
    <n v="10"/>
    <n v="4"/>
    <m/>
    <m/>
    <s v="12 cappellini bianchi, 12 cappellini rossi, 12 cappellini blu, 14 cappellini blu scuro, 50 sacchetti BHPC."/>
    <s v="MBE"/>
    <n v="36.89"/>
    <b v="1"/>
    <x v="2"/>
    <s v="Closed"/>
    <x v="1"/>
    <x v="1"/>
    <x v="1"/>
    <m/>
    <x v="0"/>
    <x v="1"/>
    <m/>
    <m/>
    <m/>
    <n v="0"/>
    <n v="0"/>
    <m/>
    <n v="0"/>
    <n v="0"/>
    <m/>
    <m/>
    <s v="BY ROAD"/>
    <b v="1"/>
    <m/>
    <m/>
    <m/>
    <m/>
  </r>
  <r>
    <x v="10"/>
    <x v="7"/>
    <x v="9"/>
    <m/>
    <m/>
    <n v="554"/>
    <m/>
    <x v="1"/>
    <n v="8"/>
    <n v="10"/>
    <n v="4"/>
    <n v="3986"/>
    <n v="4374"/>
    <s v="Pallet devono essere fumigati"/>
    <m/>
    <n v="0"/>
    <b v="0"/>
    <x v="2"/>
    <s v="Closed"/>
    <x v="5"/>
    <x v="2"/>
    <x v="0"/>
    <m/>
    <x v="0"/>
    <x v="1"/>
    <n v="66480"/>
    <n v="72576"/>
    <n v="6096"/>
    <n v="0"/>
    <n v="0"/>
    <m/>
    <n v="0"/>
    <n v="0"/>
    <m/>
    <m/>
    <s v="BY SEA"/>
    <b v="1"/>
    <m/>
    <m/>
    <m/>
    <m/>
  </r>
  <r>
    <x v="11"/>
    <x v="2"/>
    <x v="2"/>
    <s v="GBP"/>
    <m/>
    <n v="150"/>
    <m/>
    <x v="0"/>
    <n v="7"/>
    <n v="10"/>
    <n v="4"/>
    <n v="592"/>
    <n v="619"/>
    <s v="50 825168"/>
    <m/>
    <n v="0"/>
    <b v="0"/>
    <x v="2"/>
    <s v="Closed"/>
    <x v="1"/>
    <x v="1"/>
    <x v="0"/>
    <m/>
    <x v="0"/>
    <x v="1"/>
    <n v="17520"/>
    <n v="20250"/>
    <n v="2730"/>
    <n v="0"/>
    <n v="0"/>
    <s v="Passaggio a cartoni da 24PCS a cartoni da 20PCS con aggiunta del profumo all'interno del prestige gifset."/>
    <n v="0"/>
    <n v="0"/>
    <m/>
    <m/>
    <s v="BY ROAD"/>
    <b v="1"/>
    <m/>
    <m/>
    <m/>
    <m/>
  </r>
  <r>
    <x v="12"/>
    <x v="8"/>
    <x v="0"/>
    <s v="EUR"/>
    <m/>
    <n v="86"/>
    <s v="CIP CARRETERA CRUZ NEGRA, 15, 46240 CARLET, VALENCIA SPAIN"/>
    <x v="0"/>
    <n v="2"/>
    <n v="10"/>
    <n v="4"/>
    <n v="806"/>
    <n v="842"/>
    <m/>
    <s v="Fercam"/>
    <n v="480"/>
    <b v="1"/>
    <x v="2"/>
    <s v="Delivered"/>
    <x v="6"/>
    <x v="6"/>
    <x v="0"/>
    <s v="60DD - DELIVERY DATE"/>
    <x v="0"/>
    <x v="0"/>
    <n v="23758.07"/>
    <n v="22200"/>
    <n v="-1558.07"/>
    <n v="0"/>
    <n v="0"/>
    <m/>
    <n v="0"/>
    <n v="0"/>
    <m/>
    <m/>
    <s v="BY ROAD"/>
    <b v="1"/>
    <m/>
    <m/>
    <m/>
    <m/>
  </r>
  <r>
    <x v="13"/>
    <x v="9"/>
    <x v="6"/>
    <s v="EUR"/>
    <m/>
    <n v="144"/>
    <m/>
    <x v="1"/>
    <n v="2"/>
    <n v="10"/>
    <n v="4"/>
    <n v="902"/>
    <n v="1010"/>
    <m/>
    <s v="Fercam"/>
    <n v="620"/>
    <b v="0"/>
    <x v="2"/>
    <s v="Closed"/>
    <x v="7"/>
    <x v="7"/>
    <x v="0"/>
    <m/>
    <x v="0"/>
    <x v="1"/>
    <n v="5620.61"/>
    <n v="7094.64"/>
    <n v="1474.03"/>
    <n v="0"/>
    <n v="0"/>
    <m/>
    <n v="0"/>
    <n v="0"/>
    <m/>
    <m/>
    <s v="BY ROAD"/>
    <b v="1"/>
    <m/>
    <m/>
    <m/>
    <m/>
  </r>
  <r>
    <x v="14"/>
    <x v="9"/>
    <x v="10"/>
    <s v="EUR"/>
    <m/>
    <n v="1"/>
    <m/>
    <x v="2"/>
    <n v="0"/>
    <n v="10"/>
    <n v="4"/>
    <n v="8"/>
    <n v="9"/>
    <m/>
    <s v="MBE"/>
    <n v="49"/>
    <b v="1"/>
    <x v="2"/>
    <s v="Closed"/>
    <x v="1"/>
    <x v="1"/>
    <x v="1"/>
    <m/>
    <x v="0"/>
    <x v="1"/>
    <n v="181.2"/>
    <n v="0"/>
    <n v="-181.2"/>
    <n v="0"/>
    <n v="0"/>
    <m/>
    <n v="0"/>
    <n v="0"/>
    <m/>
    <m/>
    <s v="BY ROAD"/>
    <b v="1"/>
    <m/>
    <m/>
    <m/>
    <m/>
  </r>
  <r>
    <x v="15"/>
    <x v="10"/>
    <x v="11"/>
    <s v="EUR"/>
    <m/>
    <n v="24"/>
    <s v="EXW VENTIMIGLIA - ITALY"/>
    <x v="1"/>
    <n v="1"/>
    <n v="10"/>
    <n v="4"/>
    <n v="159"/>
    <n v="174"/>
    <m/>
    <m/>
    <n v="0"/>
    <b v="0"/>
    <x v="2"/>
    <s v="Closed"/>
    <x v="8"/>
    <x v="8"/>
    <x v="0"/>
    <s v="024 - IN ADVANCE"/>
    <x v="0"/>
    <x v="1"/>
    <n v="3074.88"/>
    <n v="3495.96"/>
    <n v="421.08"/>
    <n v="0"/>
    <n v="0"/>
    <m/>
    <n v="0"/>
    <n v="0"/>
    <m/>
    <m/>
    <s v="BY ROAD"/>
    <b v="1"/>
    <m/>
    <m/>
    <m/>
    <m/>
  </r>
  <r>
    <x v="16"/>
    <x v="11"/>
    <x v="7"/>
    <s v="EUR"/>
    <m/>
    <n v="0"/>
    <m/>
    <x v="1"/>
    <n v="13"/>
    <n v="10"/>
    <n v="4"/>
    <n v="3794"/>
    <n v="4169"/>
    <m/>
    <m/>
    <n v="0"/>
    <b v="0"/>
    <x v="2"/>
    <s v="Closed"/>
    <x v="9"/>
    <x v="9"/>
    <x v="2"/>
    <m/>
    <x v="0"/>
    <x v="1"/>
    <n v="64745"/>
    <n v="0"/>
    <n v="-64745"/>
    <n v="0"/>
    <n v="0"/>
    <m/>
    <n v="0"/>
    <n v="0"/>
    <m/>
    <m/>
    <s v="BY ROAD"/>
    <b v="1"/>
    <m/>
    <m/>
    <m/>
    <m/>
  </r>
  <r>
    <x v="17"/>
    <x v="11"/>
    <x v="12"/>
    <s v="EUR"/>
    <m/>
    <n v="79"/>
    <s v="CIP HAMBURG, GERMANY"/>
    <x v="0"/>
    <n v="2"/>
    <n v="10"/>
    <n v="4"/>
    <n v="687"/>
    <n v="717"/>
    <m/>
    <s v="Fercam"/>
    <n v="480"/>
    <b v="1"/>
    <x v="2"/>
    <s v="Closed"/>
    <x v="10"/>
    <x v="9"/>
    <x v="0"/>
    <s v="NET30"/>
    <x v="0"/>
    <x v="1"/>
    <n v="17903.88"/>
    <n v="13787.5"/>
    <n v="-4116.38"/>
    <n v="0"/>
    <n v="0"/>
    <m/>
    <n v="0"/>
    <n v="0"/>
    <s v="Non segno costi di manodopera in questo ordine perché li ho addebitati tutti alla fattura #41. In realtà parte dei testers preparati durante la preparazione della fattura 41 sono stati utilizzati per questa fattura."/>
    <m/>
    <s v="BY ROAD"/>
    <b v="1"/>
    <m/>
    <m/>
    <m/>
    <m/>
  </r>
  <r>
    <x v="18"/>
    <x v="12"/>
    <x v="13"/>
    <s v="GBP"/>
    <n v="0.85660000000000003"/>
    <n v="110"/>
    <s v="EXW VENTIMIGLIA - ITALY"/>
    <x v="1"/>
    <n v="2"/>
    <n v="10"/>
    <n v="4"/>
    <n v="756"/>
    <n v="832"/>
    <m/>
    <m/>
    <n v="0"/>
    <b v="0"/>
    <x v="2"/>
    <s v="Closed"/>
    <x v="11"/>
    <x v="10"/>
    <x v="0"/>
    <s v="30 DD INVOICE DATE"/>
    <x v="0"/>
    <x v="1"/>
    <n v="13200"/>
    <n v="11880"/>
    <n v="-1320"/>
    <n v="0"/>
    <n v="0"/>
    <m/>
    <n v="0"/>
    <n v="0"/>
    <m/>
    <m/>
    <s v="BY ROAD"/>
    <b v="1"/>
    <m/>
    <m/>
    <m/>
    <m/>
  </r>
  <r>
    <x v="19"/>
    <x v="13"/>
    <x v="5"/>
    <s v="EUR"/>
    <m/>
    <n v="302"/>
    <s v="CIP HAMBURG, GERMANY"/>
    <x v="0"/>
    <n v="8"/>
    <n v="10"/>
    <n v="4"/>
    <n v="2863"/>
    <n v="2990"/>
    <m/>
    <s v="Fercam"/>
    <n v="1120"/>
    <b v="1"/>
    <x v="2"/>
    <s v="Closed"/>
    <x v="12"/>
    <x v="11"/>
    <x v="0"/>
    <s v="NET30"/>
    <x v="0"/>
    <x v="1"/>
    <n v="74752.320000000007"/>
    <n v="79200"/>
    <n v="4447.68"/>
    <n v="32"/>
    <n v="22"/>
    <s v="Inscatolamento dei fillers di Knight e Royale nelle confezione testers biance e nere."/>
    <n v="0"/>
    <n v="0"/>
    <m/>
    <m/>
    <s v="BY ROAD"/>
    <b v="1"/>
    <m/>
    <m/>
    <m/>
    <m/>
  </r>
  <r>
    <x v="20"/>
    <x v="14"/>
    <x v="14"/>
    <s v="EUR"/>
    <m/>
    <n v="200"/>
    <s v="EXW VENTIMIGLIA - ITALY"/>
    <x v="1"/>
    <n v="4"/>
    <n v="10"/>
    <n v="4"/>
    <n v="1198"/>
    <n v="1314"/>
    <m/>
    <m/>
    <n v="0"/>
    <b v="0"/>
    <x v="2"/>
    <s v="Closed"/>
    <x v="13"/>
    <x v="12"/>
    <x v="0"/>
    <s v="024 - IN ADVANCE"/>
    <x v="0"/>
    <x v="1"/>
    <n v="19516.560000000001"/>
    <n v="28778.48"/>
    <n v="9261.92"/>
    <n v="0"/>
    <n v="0"/>
    <m/>
    <n v="0"/>
    <n v="0"/>
    <m/>
    <m/>
    <s v="BY ROAD"/>
    <b v="1"/>
    <m/>
    <m/>
    <m/>
    <m/>
  </r>
  <r>
    <x v="21"/>
    <x v="15"/>
    <x v="7"/>
    <s v="EUR"/>
    <m/>
    <n v="0"/>
    <m/>
    <x v="1"/>
    <n v="18"/>
    <n v="10"/>
    <n v="4"/>
    <n v="5240"/>
    <n v="5472"/>
    <m/>
    <m/>
    <n v="0"/>
    <b v="0"/>
    <x v="2"/>
    <s v="Closed"/>
    <x v="14"/>
    <x v="13"/>
    <x v="2"/>
    <m/>
    <x v="0"/>
    <x v="1"/>
    <n v="142668.82999999999"/>
    <n v="0"/>
    <n v="-142668.82999999999"/>
    <n v="0"/>
    <n v="0"/>
    <m/>
    <n v="0"/>
    <n v="0"/>
    <m/>
    <m/>
    <s v="BY ROAD"/>
    <b v="1"/>
    <m/>
    <m/>
    <m/>
    <m/>
  </r>
  <r>
    <x v="22"/>
    <x v="16"/>
    <x v="0"/>
    <s v="EUR"/>
    <m/>
    <n v="125"/>
    <s v="CIP CARRETERA CRUZ NEGRA, 15, 46240 CARLET, VALENCIA SPAIN"/>
    <x v="0"/>
    <n v="7"/>
    <n v="10"/>
    <n v="4"/>
    <n v="2190"/>
    <n v="2562"/>
    <m/>
    <s v="Fercam"/>
    <n v="1060"/>
    <b v="1"/>
    <x v="2"/>
    <s v="Closed"/>
    <x v="15"/>
    <x v="14"/>
    <x v="0"/>
    <s v="60DD - DELIVERY DATE"/>
    <x v="0"/>
    <x v="1"/>
    <n v="45000"/>
    <n v="51000"/>
    <n v="6000"/>
    <n v="80"/>
    <n v="22"/>
    <m/>
    <n v="0"/>
    <n v="0"/>
    <m/>
    <m/>
    <s v="BY ROAD"/>
    <b v="1"/>
    <m/>
    <m/>
    <m/>
    <m/>
  </r>
  <r>
    <x v="23"/>
    <x v="16"/>
    <x v="15"/>
    <s v="EUR"/>
    <m/>
    <n v="180"/>
    <s v="EXW VENTIMIGLIA - ITALY"/>
    <x v="1"/>
    <n v="3"/>
    <n v="10"/>
    <n v="4"/>
    <n v="1674"/>
    <n v="1746"/>
    <m/>
    <m/>
    <n v="0"/>
    <b v="0"/>
    <x v="2"/>
    <s v="Closed"/>
    <x v="16"/>
    <x v="14"/>
    <x v="0"/>
    <s v="024 - IN ADVANCE"/>
    <x v="0"/>
    <x v="1"/>
    <n v="50457.599999999999"/>
    <n v="53721.599999999999"/>
    <n v="3264"/>
    <n v="0"/>
    <n v="0"/>
    <m/>
    <n v="0"/>
    <n v="0"/>
    <m/>
    <m/>
    <s v="BY ROAD"/>
    <b v="1"/>
    <m/>
    <m/>
    <m/>
    <m/>
  </r>
  <r>
    <x v="24"/>
    <x v="17"/>
    <x v="16"/>
    <s v="EUR"/>
    <m/>
    <n v="77"/>
    <s v="EXW VENTIMIGLIA - ITALY"/>
    <x v="0"/>
    <n v="3"/>
    <n v="10"/>
    <n v="4"/>
    <n v="438"/>
    <n v="491"/>
    <m/>
    <m/>
    <n v="0"/>
    <b v="0"/>
    <x v="2"/>
    <s v="Closed"/>
    <x v="17"/>
    <x v="12"/>
    <x v="0"/>
    <s v="024 - IN ADVANCE"/>
    <x v="0"/>
    <x v="1"/>
    <n v="1635"/>
    <n v="5252.8"/>
    <n v="3617.8"/>
    <n v="20"/>
    <n v="23"/>
    <s v="Preparazione di 700 GS da 100ml e stickeraggio per coprire errori di layout dei cartoncini."/>
    <n v="0"/>
    <n v="0"/>
    <m/>
    <m/>
    <s v="BY ROAD"/>
    <b v="1"/>
    <m/>
    <m/>
    <m/>
    <m/>
  </r>
  <r>
    <x v="25"/>
    <x v="17"/>
    <x v="6"/>
    <s v="EUR"/>
    <m/>
    <n v="280"/>
    <s v="FOT VENTIMIGLIA - ITALY"/>
    <x v="0"/>
    <n v="4"/>
    <n v="10"/>
    <n v="4"/>
    <n v="2542"/>
    <n v="2651"/>
    <m/>
    <m/>
    <n v="0"/>
    <b v="0"/>
    <x v="2"/>
    <s v="Closed"/>
    <x v="18"/>
    <x v="15"/>
    <x v="0"/>
    <s v="024 - IN ADVANCE"/>
    <x v="0"/>
    <x v="1"/>
    <n v="76620.800000000003"/>
    <n v="83692.800000000003"/>
    <n v="7072"/>
    <n v="0"/>
    <n v="0"/>
    <m/>
    <n v="0"/>
    <n v="0"/>
    <m/>
    <m/>
    <s v="BY ROAD"/>
    <b v="1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8">
  <r>
    <x v="0"/>
    <x v="0"/>
    <x v="0"/>
    <m/>
    <m/>
    <m/>
    <m/>
    <n v="4"/>
    <n v="0"/>
    <n v="1"/>
    <n v="1.2533333333333332"/>
    <n v="1.3716666666666666"/>
    <n v="0"/>
    <x v="0"/>
    <n v="100"/>
    <n v="13057"/>
    <n v="5"/>
    <n v="20"/>
    <n v="0"/>
    <x v="0"/>
  </r>
  <r>
    <x v="0"/>
    <x v="1"/>
    <x v="1"/>
    <m/>
    <m/>
    <m/>
    <m/>
    <n v="3"/>
    <n v="0"/>
    <n v="1"/>
    <n v="0.94"/>
    <n v="1.0287500000000001"/>
    <n v="0"/>
    <x v="0"/>
    <n v="100"/>
    <n v="12592"/>
    <n v="5"/>
    <n v="15"/>
    <n v="0"/>
    <x v="0"/>
  </r>
  <r>
    <x v="0"/>
    <x v="2"/>
    <x v="2"/>
    <m/>
    <m/>
    <m/>
    <m/>
    <n v="4"/>
    <n v="0"/>
    <n v="1"/>
    <m/>
    <n v="0.8666666666666667"/>
    <n v="0"/>
    <x v="0"/>
    <n v="50"/>
    <n v="24"/>
    <n v="4"/>
    <n v="16"/>
    <n v="0"/>
    <x v="0"/>
  </r>
  <r>
    <x v="0"/>
    <x v="3"/>
    <x v="3"/>
    <m/>
    <m/>
    <m/>
    <m/>
    <n v="9"/>
    <n v="0"/>
    <n v="1"/>
    <n v="1.7999999999999998"/>
    <n v="1.9500000000000002"/>
    <n v="0"/>
    <x v="0"/>
    <n v="50"/>
    <n v="0"/>
    <n v="4"/>
    <n v="36"/>
    <n v="0"/>
    <x v="0"/>
  </r>
  <r>
    <x v="0"/>
    <x v="4"/>
    <x v="4"/>
    <m/>
    <m/>
    <m/>
    <m/>
    <n v="17"/>
    <n v="0"/>
    <n v="1"/>
    <n v="3.3149999999999999"/>
    <n v="3.5983333333333336"/>
    <n v="0"/>
    <x v="0"/>
    <n v="50"/>
    <n v="49"/>
    <n v="4"/>
    <n v="68"/>
    <n v="0"/>
    <x v="0"/>
  </r>
  <r>
    <x v="0"/>
    <x v="5"/>
    <x v="5"/>
    <m/>
    <m/>
    <m/>
    <m/>
    <n v="1"/>
    <n v="0"/>
    <n v="1"/>
    <n v="0.28625"/>
    <n v="0.31499999999999995"/>
    <n v="0"/>
    <x v="0"/>
    <n v="100"/>
    <n v="9142"/>
    <n v="5"/>
    <n v="5"/>
    <n v="0"/>
    <x v="0"/>
  </r>
  <r>
    <x v="0"/>
    <x v="6"/>
    <x v="6"/>
    <m/>
    <m/>
    <m/>
    <m/>
    <n v="1"/>
    <n v="0"/>
    <n v="1"/>
    <n v="0.28625"/>
    <n v="0.31499999999999995"/>
    <n v="0"/>
    <x v="0"/>
    <n v="100"/>
    <n v="8908"/>
    <n v="5"/>
    <n v="5"/>
    <n v="0"/>
    <x v="0"/>
  </r>
  <r>
    <x v="0"/>
    <x v="7"/>
    <x v="7"/>
    <n v="1032"/>
    <m/>
    <m/>
    <m/>
    <n v="147"/>
    <n v="43"/>
    <n v="7"/>
    <n v="465.70500000000004"/>
    <n v="486.33750000000003"/>
    <n v="0.74379249999999997"/>
    <x v="1"/>
    <n v="100"/>
    <n v="1767"/>
    <n v="11.68"/>
    <n v="13770.72"/>
    <n v="0"/>
    <x v="0"/>
  </r>
  <r>
    <x v="0"/>
    <x v="8"/>
    <x v="8"/>
    <n v="792"/>
    <m/>
    <m/>
    <m/>
    <n v="113"/>
    <n v="33"/>
    <n v="5"/>
    <n v="357.47500000000002"/>
    <n v="373.31250000000006"/>
    <n v="0.57081749999999998"/>
    <x v="1"/>
    <n v="100"/>
    <n v="1474"/>
    <n v="11.68"/>
    <n v="10570.4"/>
    <n v="0"/>
    <x v="0"/>
  </r>
  <r>
    <x v="0"/>
    <x v="9"/>
    <x v="9"/>
    <m/>
    <m/>
    <m/>
    <m/>
    <n v="2"/>
    <n v="0"/>
    <n v="1"/>
    <n v="0.52916666666666656"/>
    <n v="0.58333333333333326"/>
    <n v="0"/>
    <x v="2"/>
    <n v="200"/>
    <n v="2970"/>
    <n v="2.0499999999999998"/>
    <n v="4.0999999999999996"/>
    <n v="0"/>
    <x v="0"/>
  </r>
  <r>
    <x v="0"/>
    <x v="10"/>
    <x v="10"/>
    <m/>
    <m/>
    <m/>
    <m/>
    <n v="5"/>
    <n v="0"/>
    <n v="1"/>
    <n v="1.3229166666666667"/>
    <n v="1.4583333333333335"/>
    <n v="0"/>
    <x v="2"/>
    <n v="200"/>
    <n v="422"/>
    <n v="2.0499999999999998"/>
    <n v="10.25"/>
    <n v="0"/>
    <x v="0"/>
  </r>
  <r>
    <x v="1"/>
    <x v="11"/>
    <x v="11"/>
    <n v="720"/>
    <n v="14.53"/>
    <m/>
    <m/>
    <n v="100"/>
    <n v="30"/>
    <n v="5"/>
    <n v="323.89999999999998"/>
    <n v="338.25"/>
    <n v="0.51892499999999997"/>
    <x v="1"/>
    <n v="100"/>
    <n v="5041"/>
    <n v="11.68"/>
    <n v="9577.6"/>
    <n v="10461.6"/>
    <x v="1"/>
  </r>
  <r>
    <x v="1"/>
    <x v="12"/>
    <x v="12"/>
    <n v="720"/>
    <n v="14.53"/>
    <m/>
    <m/>
    <n v="100"/>
    <n v="30"/>
    <n v="5"/>
    <n v="323.89999999999998"/>
    <n v="338.25"/>
    <n v="0.51892499999999997"/>
    <x v="1"/>
    <n v="100"/>
    <n v="1535"/>
    <n v="11.68"/>
    <n v="9577.6"/>
    <n v="10461.6"/>
    <x v="1"/>
  </r>
  <r>
    <x v="1"/>
    <x v="13"/>
    <x v="13"/>
    <n v="720"/>
    <n v="14.53"/>
    <m/>
    <m/>
    <n v="100"/>
    <n v="30"/>
    <n v="5"/>
    <n v="323.89999999999998"/>
    <n v="338.25"/>
    <n v="0.51892499999999997"/>
    <x v="1"/>
    <n v="100"/>
    <n v="1665"/>
    <n v="11.68"/>
    <n v="9577.6"/>
    <n v="10461.6"/>
    <x v="1"/>
  </r>
  <r>
    <x v="1"/>
    <x v="14"/>
    <x v="14"/>
    <n v="720"/>
    <n v="14.53"/>
    <m/>
    <m/>
    <n v="100"/>
    <n v="30"/>
    <n v="5"/>
    <n v="323.89999999999998"/>
    <n v="338.25"/>
    <n v="0.51892499999999997"/>
    <x v="1"/>
    <n v="100"/>
    <n v="5724"/>
    <n v="11.68"/>
    <n v="9577.6"/>
    <n v="10461.6"/>
    <x v="1"/>
  </r>
  <r>
    <x v="1"/>
    <x v="15"/>
    <x v="15"/>
    <n v="720"/>
    <n v="14.53"/>
    <m/>
    <m/>
    <n v="100"/>
    <n v="30"/>
    <n v="5"/>
    <n v="311.59999999999997"/>
    <n v="324.58333333333331"/>
    <n v="0.52593749999999995"/>
    <x v="1"/>
    <n v="100"/>
    <n v="865"/>
    <n v="11.68"/>
    <n v="9577.6"/>
    <n v="10461.6"/>
    <x v="1"/>
  </r>
  <r>
    <x v="1"/>
    <x v="16"/>
    <x v="16"/>
    <n v="720"/>
    <n v="14.53"/>
    <m/>
    <m/>
    <n v="100"/>
    <n v="30"/>
    <n v="5"/>
    <n v="311.59999999999997"/>
    <n v="324.58333333333331"/>
    <n v="0.52593749999999995"/>
    <x v="1"/>
    <n v="100"/>
    <n v="576"/>
    <n v="11.68"/>
    <n v="9577.6"/>
    <n v="10461.6"/>
    <x v="1"/>
  </r>
  <r>
    <x v="1"/>
    <x v="17"/>
    <x v="17"/>
    <n v="720"/>
    <n v="14.53"/>
    <m/>
    <m/>
    <n v="100"/>
    <n v="30"/>
    <n v="5"/>
    <n v="311.59999999999997"/>
    <n v="324.58333333333331"/>
    <n v="0.52593749999999995"/>
    <x v="1"/>
    <n v="100"/>
    <n v="1979"/>
    <n v="11.68"/>
    <n v="9577.6"/>
    <n v="10461.6"/>
    <x v="1"/>
  </r>
  <r>
    <x v="1"/>
    <x v="18"/>
    <x v="18"/>
    <n v="720"/>
    <n v="14.53"/>
    <m/>
    <m/>
    <n v="100"/>
    <n v="30"/>
    <n v="5"/>
    <n v="311.59999999999997"/>
    <n v="324.58333333333331"/>
    <n v="0.52593749999999995"/>
    <x v="1"/>
    <n v="100"/>
    <n v="2589"/>
    <n v="11.68"/>
    <n v="9577.6"/>
    <n v="10461.6"/>
    <x v="1"/>
  </r>
  <r>
    <x v="2"/>
    <x v="11"/>
    <x v="11"/>
    <n v="480"/>
    <n v="13.99"/>
    <m/>
    <m/>
    <n v="60"/>
    <n v="20"/>
    <n v="3"/>
    <n v="213.3"/>
    <n v="222.75"/>
    <n v="0.34594999999999998"/>
    <x v="1"/>
    <n v="100"/>
    <n v="5041"/>
    <n v="11.68"/>
    <n v="6307.2"/>
    <n v="6715.2"/>
    <x v="1"/>
  </r>
  <r>
    <x v="2"/>
    <x v="12"/>
    <x v="12"/>
    <n v="480"/>
    <n v="13.99"/>
    <m/>
    <m/>
    <n v="60"/>
    <n v="20"/>
    <n v="3"/>
    <n v="213.3"/>
    <n v="222.75"/>
    <n v="0.34594999999999998"/>
    <x v="1"/>
    <n v="100"/>
    <n v="1535"/>
    <n v="11.68"/>
    <n v="6307.2"/>
    <n v="6715.2"/>
    <x v="1"/>
  </r>
  <r>
    <x v="2"/>
    <x v="13"/>
    <x v="13"/>
    <n v="480"/>
    <n v="13.99"/>
    <m/>
    <m/>
    <n v="60"/>
    <n v="20"/>
    <n v="3"/>
    <n v="213.3"/>
    <n v="222.75"/>
    <n v="0.34594999999999998"/>
    <x v="1"/>
    <n v="100"/>
    <n v="1665"/>
    <n v="11.68"/>
    <n v="6307.2"/>
    <n v="6715.2"/>
    <x v="1"/>
  </r>
  <r>
    <x v="2"/>
    <x v="14"/>
    <x v="14"/>
    <n v="480"/>
    <n v="13.99"/>
    <m/>
    <m/>
    <n v="60"/>
    <n v="20"/>
    <n v="3"/>
    <n v="213.3"/>
    <n v="222.75"/>
    <n v="0.34594999999999998"/>
    <x v="1"/>
    <n v="100"/>
    <n v="5724"/>
    <n v="11.68"/>
    <n v="6307.2"/>
    <n v="6715.2"/>
    <x v="1"/>
  </r>
  <r>
    <x v="2"/>
    <x v="15"/>
    <x v="15"/>
    <n v="480"/>
    <n v="13.99"/>
    <m/>
    <m/>
    <n v="60"/>
    <n v="20"/>
    <n v="3"/>
    <n v="205.2"/>
    <n v="213.75"/>
    <n v="0.35062500000000002"/>
    <x v="1"/>
    <n v="100"/>
    <n v="865"/>
    <n v="11.68"/>
    <n v="6307.2"/>
    <n v="6715.2"/>
    <x v="1"/>
  </r>
  <r>
    <x v="2"/>
    <x v="16"/>
    <x v="16"/>
    <n v="480"/>
    <n v="13.99"/>
    <m/>
    <m/>
    <n v="60"/>
    <n v="20"/>
    <n v="3"/>
    <n v="205.2"/>
    <n v="213.75"/>
    <n v="0.35062500000000002"/>
    <x v="1"/>
    <n v="100"/>
    <n v="576"/>
    <n v="11.68"/>
    <n v="6307.2"/>
    <n v="6715.2"/>
    <x v="1"/>
  </r>
  <r>
    <x v="2"/>
    <x v="17"/>
    <x v="17"/>
    <n v="480"/>
    <n v="13.99"/>
    <m/>
    <m/>
    <n v="60"/>
    <n v="20"/>
    <n v="3"/>
    <n v="205.2"/>
    <n v="213.75"/>
    <n v="0.35062500000000002"/>
    <x v="1"/>
    <n v="100"/>
    <n v="1979"/>
    <n v="11.68"/>
    <n v="6307.2"/>
    <n v="6715.2"/>
    <x v="1"/>
  </r>
  <r>
    <x v="2"/>
    <x v="18"/>
    <x v="18"/>
    <n v="480"/>
    <n v="13.99"/>
    <m/>
    <m/>
    <n v="60"/>
    <n v="20"/>
    <n v="3"/>
    <n v="205.2"/>
    <n v="213.75"/>
    <n v="0.35062500000000002"/>
    <x v="1"/>
    <n v="100"/>
    <n v="2589"/>
    <n v="11.68"/>
    <n v="6307.2"/>
    <n v="6715.2"/>
    <x v="1"/>
  </r>
  <r>
    <x v="3"/>
    <x v="19"/>
    <x v="19"/>
    <n v="3000"/>
    <n v="17"/>
    <m/>
    <m/>
    <m/>
    <n v="125"/>
    <n v="0"/>
    <n v="2190"/>
    <n v="2562.5"/>
    <n v="9.1999999999999993"/>
    <x v="3"/>
    <n v="100"/>
    <n v="0"/>
    <n v="15"/>
    <n v="45000"/>
    <n v="51000"/>
    <x v="1"/>
  </r>
  <r>
    <x v="4"/>
    <x v="7"/>
    <x v="7"/>
    <n v="2712"/>
    <n v="12.5"/>
    <m/>
    <m/>
    <m/>
    <n v="113"/>
    <n v="0"/>
    <n v="1071.24"/>
    <n v="1118.7"/>
    <n v="1.9546174999999999"/>
    <x v="1"/>
    <n v="100"/>
    <m/>
    <n v="1767"/>
    <n v="11.68"/>
    <n v="31676.16"/>
    <x v="1"/>
  </r>
  <r>
    <x v="4"/>
    <x v="8"/>
    <x v="8"/>
    <n v="2712"/>
    <n v="12.5"/>
    <m/>
    <m/>
    <m/>
    <n v="113"/>
    <n v="0"/>
    <n v="1071.24"/>
    <n v="1118.7"/>
    <n v="1.9546174999999999"/>
    <x v="1"/>
    <n v="100"/>
    <m/>
    <n v="1474"/>
    <n v="11.68"/>
    <n v="31676.16"/>
    <x v="1"/>
  </r>
  <r>
    <x v="4"/>
    <x v="20"/>
    <x v="20"/>
    <m/>
    <m/>
    <s v="912"/>
    <s v="6,25 €"/>
    <m/>
    <n v="38"/>
    <n v="0"/>
    <n v="360.24"/>
    <n v="376.2"/>
    <n v="0.65730500000000003"/>
    <x v="4"/>
    <n v="100"/>
    <m/>
    <n v="912"/>
    <n v="6.25"/>
    <n v="5700"/>
    <x v="1"/>
  </r>
  <r>
    <x v="4"/>
    <x v="21"/>
    <x v="21"/>
    <m/>
    <m/>
    <s v="912"/>
    <s v="6,25 €"/>
    <m/>
    <n v="38"/>
    <n v="0"/>
    <n v="360.24"/>
    <n v="376.2"/>
    <n v="0.65730500000000003"/>
    <x v="4"/>
    <n v="100"/>
    <m/>
    <n v="912"/>
    <n v="6.25"/>
    <n v="5700"/>
    <x v="1"/>
  </r>
  <r>
    <x v="5"/>
    <x v="6"/>
    <x v="6"/>
    <n v="2640"/>
    <n v="4.5"/>
    <m/>
    <m/>
    <m/>
    <n v="110"/>
    <n v="0"/>
    <n v="755.7"/>
    <n v="831.59999999999991"/>
    <n v="2.7670499999999998"/>
    <x v="0"/>
    <n v="100"/>
    <n v="8908"/>
    <n v="5"/>
    <n v="13200"/>
    <n v="11880"/>
    <x v="1"/>
  </r>
  <r>
    <x v="6"/>
    <x v="11"/>
    <x v="11"/>
    <n v="450"/>
    <n v="12.5"/>
    <m/>
    <m/>
    <n v="38"/>
    <n v="19"/>
    <n v="2"/>
    <n v="192.76"/>
    <n v="201.29999999999998"/>
    <n v="0.32432812500000002"/>
    <x v="1"/>
    <n v="100"/>
    <m/>
    <n v="5041"/>
    <n v="11.68"/>
    <n v="5699.84"/>
    <x v="1"/>
  </r>
  <r>
    <x v="6"/>
    <x v="12"/>
    <x v="12"/>
    <m/>
    <m/>
    <s v="20"/>
    <s v="6,25 €"/>
    <m/>
    <n v="1"/>
    <n v="0"/>
    <n v="7.9"/>
    <n v="8.25"/>
    <n v="1.4414583333333335E-2"/>
    <x v="1"/>
    <n v="100"/>
    <m/>
    <n v="1535"/>
    <n v="11.68"/>
    <n v="233.6"/>
    <x v="1"/>
  </r>
  <r>
    <x v="6"/>
    <x v="13"/>
    <x v="13"/>
    <m/>
    <m/>
    <s v="66"/>
    <s v="6,25 €"/>
    <m/>
    <n v="3"/>
    <n v="0"/>
    <n v="26.07"/>
    <n v="27.225000000000001"/>
    <n v="4.7568125000000003E-2"/>
    <x v="1"/>
    <n v="100"/>
    <m/>
    <n v="1665"/>
    <n v="11.68"/>
    <n v="770.88"/>
    <x v="1"/>
  </r>
  <r>
    <x v="6"/>
    <x v="14"/>
    <x v="14"/>
    <n v="150"/>
    <n v="12.5"/>
    <m/>
    <m/>
    <n v="13"/>
    <n v="7"/>
    <n v="1"/>
    <n v="64.385000000000005"/>
    <n v="67.237500000000011"/>
    <n v="0.10810937499999999"/>
    <x v="1"/>
    <n v="100"/>
    <m/>
    <n v="5724"/>
    <n v="11.68"/>
    <n v="1903.84"/>
    <x v="1"/>
  </r>
  <r>
    <x v="6"/>
    <x v="17"/>
    <x v="17"/>
    <m/>
    <m/>
    <s v="30"/>
    <s v="6,25 €"/>
    <m/>
    <n v="2"/>
    <n v="0"/>
    <n v="11.399999999999999"/>
    <n v="11.875"/>
    <n v="2.1914062500000001E-2"/>
    <x v="1"/>
    <n v="100"/>
    <m/>
    <n v="1979"/>
    <n v="11.68"/>
    <n v="350.4"/>
    <x v="1"/>
  </r>
  <r>
    <x v="6"/>
    <x v="18"/>
    <x v="18"/>
    <m/>
    <m/>
    <s v="90"/>
    <s v="6,25 €"/>
    <m/>
    <n v="4"/>
    <n v="0"/>
    <n v="34.199999999999996"/>
    <n v="35.625"/>
    <n v="6.5742187499999993E-2"/>
    <x v="1"/>
    <n v="100"/>
    <m/>
    <n v="2589"/>
    <n v="11.68"/>
    <n v="1051.2"/>
    <x v="1"/>
  </r>
  <r>
    <x v="6"/>
    <x v="7"/>
    <x v="7"/>
    <n v="200"/>
    <n v="12.5"/>
    <m/>
    <m/>
    <n v="17"/>
    <n v="9"/>
    <n v="1"/>
    <n v="85.715000000000003"/>
    <n v="89.512500000000003"/>
    <n v="0.14414583333333333"/>
    <x v="1"/>
    <n v="100"/>
    <m/>
    <n v="1767"/>
    <n v="11.68"/>
    <n v="2534.56"/>
    <x v="1"/>
  </r>
  <r>
    <x v="6"/>
    <x v="8"/>
    <x v="8"/>
    <n v="200"/>
    <n v="12.5"/>
    <m/>
    <m/>
    <n v="17"/>
    <n v="9"/>
    <n v="1"/>
    <n v="85.715000000000003"/>
    <n v="89.512500000000003"/>
    <n v="0.14414583333333333"/>
    <x v="1"/>
    <n v="100"/>
    <m/>
    <n v="1474"/>
    <n v="11.68"/>
    <n v="2534.56"/>
    <x v="1"/>
  </r>
  <r>
    <x v="6"/>
    <x v="20"/>
    <x v="20"/>
    <m/>
    <m/>
    <m/>
    <m/>
    <n v="226"/>
    <n v="0"/>
    <n v="10"/>
    <n v="89.27"/>
    <n v="93.224999999999994"/>
    <n v="0"/>
    <x v="4"/>
    <n v="100"/>
    <m/>
    <n v="912"/>
    <n v="6.25"/>
    <n v="1412.5"/>
    <x v="1"/>
  </r>
  <r>
    <x v="6"/>
    <x v="21"/>
    <x v="21"/>
    <m/>
    <m/>
    <m/>
    <m/>
    <n v="226"/>
    <n v="0"/>
    <n v="10"/>
    <n v="89.27"/>
    <n v="93.224999999999994"/>
    <n v="0"/>
    <x v="4"/>
    <n v="100"/>
    <m/>
    <n v="912"/>
    <n v="6.25"/>
    <n v="1412.5"/>
    <x v="1"/>
  </r>
  <r>
    <x v="7"/>
    <x v="0"/>
    <x v="0"/>
    <n v="24"/>
    <n v="5.78"/>
    <m/>
    <m/>
    <n v="2"/>
    <n v="1"/>
    <n v="1"/>
    <n v="8.1466666666666665"/>
    <n v="8.9158333333333335"/>
    <n v="2.2446000000000001E-2"/>
    <x v="0"/>
    <n v="100"/>
    <n v="13057"/>
    <n v="5"/>
    <n v="130"/>
    <n v="138.72"/>
    <x v="1"/>
  </r>
  <r>
    <x v="7"/>
    <x v="22"/>
    <x v="22"/>
    <n v="24"/>
    <n v="5.78"/>
    <m/>
    <m/>
    <n v="2"/>
    <n v="1"/>
    <n v="1"/>
    <n v="8.1466666666666665"/>
    <n v="8.9158333333333335"/>
    <n v="2.2446000000000001E-2"/>
    <x v="0"/>
    <n v="100"/>
    <n v="12936"/>
    <n v="5"/>
    <n v="130"/>
    <n v="138.72"/>
    <x v="1"/>
  </r>
  <r>
    <x v="7"/>
    <x v="1"/>
    <x v="1"/>
    <n v="24"/>
    <n v="5.78"/>
    <m/>
    <m/>
    <n v="2"/>
    <n v="1"/>
    <n v="1"/>
    <n v="8.1466666666666665"/>
    <n v="8.9158333333333335"/>
    <n v="2.2446000000000001E-2"/>
    <x v="0"/>
    <n v="100"/>
    <n v="12592"/>
    <n v="5"/>
    <n v="130"/>
    <n v="138.72"/>
    <x v="1"/>
  </r>
  <r>
    <x v="7"/>
    <x v="23"/>
    <x v="23"/>
    <n v="24"/>
    <n v="5.78"/>
    <m/>
    <m/>
    <n v="2"/>
    <n v="1"/>
    <n v="1"/>
    <n v="8.1466666666666665"/>
    <n v="8.9158333333333335"/>
    <n v="2.2446000000000001E-2"/>
    <x v="0"/>
    <n v="100"/>
    <n v="9822"/>
    <n v="5"/>
    <n v="130"/>
    <n v="138.72"/>
    <x v="1"/>
  </r>
  <r>
    <x v="7"/>
    <x v="5"/>
    <x v="5"/>
    <n v="24"/>
    <n v="5.78"/>
    <m/>
    <m/>
    <n v="2"/>
    <n v="1"/>
    <n v="1"/>
    <n v="7.4424999999999999"/>
    <n v="8.19"/>
    <n v="2.5155E-2"/>
    <x v="0"/>
    <n v="100"/>
    <n v="9142"/>
    <n v="5"/>
    <n v="130"/>
    <n v="138.72"/>
    <x v="1"/>
  </r>
  <r>
    <x v="7"/>
    <x v="6"/>
    <x v="6"/>
    <n v="24"/>
    <n v="5.78"/>
    <m/>
    <m/>
    <n v="2"/>
    <n v="1"/>
    <n v="1"/>
    <n v="7.4424999999999999"/>
    <n v="8.19"/>
    <n v="2.5155E-2"/>
    <x v="0"/>
    <n v="100"/>
    <n v="8908"/>
    <n v="5"/>
    <n v="130"/>
    <n v="138.72"/>
    <x v="1"/>
  </r>
  <r>
    <x v="7"/>
    <x v="11"/>
    <x v="11"/>
    <n v="48"/>
    <n v="15.55"/>
    <m/>
    <m/>
    <m/>
    <n v="2"/>
    <n v="0"/>
    <n v="18.96"/>
    <n v="19.8"/>
    <n v="3.4595000000000001E-2"/>
    <x v="1"/>
    <n v="100"/>
    <n v="5041"/>
    <n v="11.68"/>
    <n v="560.64"/>
    <n v="746.4"/>
    <x v="1"/>
  </r>
  <r>
    <x v="7"/>
    <x v="14"/>
    <x v="14"/>
    <n v="24"/>
    <n v="15.55"/>
    <m/>
    <m/>
    <m/>
    <n v="1"/>
    <n v="0"/>
    <n v="9.48"/>
    <n v="9.9"/>
    <n v="1.72975E-2"/>
    <x v="1"/>
    <n v="100"/>
    <n v="5724"/>
    <n v="11.68"/>
    <n v="280.32"/>
    <n v="373.2"/>
    <x v="1"/>
  </r>
  <r>
    <x v="7"/>
    <x v="7"/>
    <x v="7"/>
    <n v="24"/>
    <n v="15.55"/>
    <m/>
    <m/>
    <n v="6"/>
    <n v="1"/>
    <n v="1"/>
    <n v="11.850000000000001"/>
    <n v="12.375"/>
    <n v="1.72975E-2"/>
    <x v="1"/>
    <n v="100"/>
    <n v="1767"/>
    <n v="11.68"/>
    <n v="350.4"/>
    <n v="373.2"/>
    <x v="1"/>
  </r>
  <r>
    <x v="7"/>
    <x v="8"/>
    <x v="8"/>
    <n v="24"/>
    <n v="15.55"/>
    <m/>
    <m/>
    <n v="6"/>
    <n v="1"/>
    <n v="1"/>
    <n v="11.850000000000001"/>
    <n v="12.375"/>
    <n v="1.72975E-2"/>
    <x v="1"/>
    <n v="100"/>
    <n v="1474"/>
    <n v="11.68"/>
    <n v="350.4"/>
    <n v="373.2"/>
    <x v="1"/>
  </r>
  <r>
    <x v="7"/>
    <x v="24"/>
    <x v="24"/>
    <n v="24"/>
    <n v="5.78"/>
    <m/>
    <m/>
    <m/>
    <n v="2"/>
    <n v="0"/>
    <n v="10.08"/>
    <n v="11.58"/>
    <n v="5.6166000000000001E-2"/>
    <x v="3"/>
    <n v="50"/>
    <n v="398"/>
    <n v="5.23"/>
    <n v="125.52"/>
    <n v="138.72"/>
    <x v="1"/>
  </r>
  <r>
    <x v="7"/>
    <x v="25"/>
    <x v="25"/>
    <n v="12"/>
    <n v="2.89"/>
    <m/>
    <m/>
    <m/>
    <n v="1"/>
    <n v="0"/>
    <n v="5.04"/>
    <n v="5.79"/>
    <n v="2.8083E-2"/>
    <x v="3"/>
    <n v="50"/>
    <n v="243"/>
    <n v="5.23"/>
    <n v="62.76"/>
    <n v="34.68"/>
    <x v="1"/>
  </r>
  <r>
    <x v="7"/>
    <x v="25"/>
    <x v="25"/>
    <n v="12"/>
    <n v="5.78"/>
    <m/>
    <m/>
    <m/>
    <n v="1"/>
    <n v="0"/>
    <n v="5.04"/>
    <n v="5.79"/>
    <n v="2.8083E-2"/>
    <x v="3"/>
    <n v="50"/>
    <n v="243"/>
    <n v="5.23"/>
    <n v="62.76"/>
    <n v="69.36"/>
    <x v="1"/>
  </r>
  <r>
    <x v="7"/>
    <x v="26"/>
    <x v="26"/>
    <n v="24"/>
    <n v="5.78"/>
    <m/>
    <m/>
    <m/>
    <n v="2"/>
    <n v="0"/>
    <n v="10.08"/>
    <n v="11.58"/>
    <n v="5.6166000000000001E-2"/>
    <x v="3"/>
    <n v="50"/>
    <n v="437"/>
    <n v="5.23"/>
    <n v="125.52"/>
    <n v="138.72"/>
    <x v="1"/>
  </r>
  <r>
    <x v="7"/>
    <x v="27"/>
    <x v="27"/>
    <n v="24"/>
    <n v="5.78"/>
    <m/>
    <m/>
    <m/>
    <n v="2"/>
    <n v="0"/>
    <n v="10.08"/>
    <n v="11.58"/>
    <n v="5.6166000000000001E-2"/>
    <x v="3"/>
    <n v="50"/>
    <n v="437"/>
    <n v="5.23"/>
    <n v="125.52"/>
    <n v="138.72"/>
    <x v="1"/>
  </r>
  <r>
    <x v="7"/>
    <x v="28"/>
    <x v="28"/>
    <n v="24"/>
    <n v="5.78"/>
    <m/>
    <m/>
    <m/>
    <n v="2"/>
    <n v="0"/>
    <n v="9.56"/>
    <n v="10.5"/>
    <n v="5.6166000000000001E-2"/>
    <x v="3"/>
    <n v="50"/>
    <n v="471"/>
    <n v="5.23"/>
    <n v="125.52"/>
    <n v="138.72"/>
    <x v="1"/>
  </r>
  <r>
    <x v="7"/>
    <x v="29"/>
    <x v="29"/>
    <n v="24"/>
    <n v="5.78"/>
    <m/>
    <m/>
    <m/>
    <n v="2"/>
    <n v="0"/>
    <n v="9.56"/>
    <n v="10.5"/>
    <n v="5.6166000000000001E-2"/>
    <x v="3"/>
    <n v="50"/>
    <n v="303"/>
    <n v="5.23"/>
    <n v="125.52"/>
    <n v="138.72"/>
    <x v="1"/>
  </r>
  <r>
    <x v="8"/>
    <x v="0"/>
    <x v="0"/>
    <n v="180"/>
    <n v="8.11"/>
    <m/>
    <m/>
    <n v="18"/>
    <n v="8"/>
    <n v="1"/>
    <n v="62.04"/>
    <n v="67.897500000000008"/>
    <n v="0.16834499999999999"/>
    <x v="0"/>
    <n v="100"/>
    <n v="13057"/>
    <n v="5"/>
    <n v="990"/>
    <n v="1459.8"/>
    <x v="1"/>
  </r>
  <r>
    <x v="8"/>
    <x v="22"/>
    <x v="22"/>
    <n v="108"/>
    <n v="8.11"/>
    <m/>
    <m/>
    <n v="11"/>
    <n v="5"/>
    <n v="1"/>
    <n v="37.286666666666662"/>
    <n v="40.807083333333331"/>
    <n v="0.101007"/>
    <x v="0"/>
    <n v="100"/>
    <n v="12936"/>
    <n v="5"/>
    <n v="595"/>
    <n v="875.88"/>
    <x v="1"/>
  </r>
  <r>
    <x v="8"/>
    <x v="1"/>
    <x v="1"/>
    <n v="180"/>
    <n v="8.11"/>
    <m/>
    <m/>
    <n v="18"/>
    <n v="8"/>
    <n v="1"/>
    <n v="62.04"/>
    <n v="67.897500000000008"/>
    <n v="0.16834499999999999"/>
    <x v="0"/>
    <n v="100"/>
    <n v="12592"/>
    <n v="5"/>
    <n v="990"/>
    <n v="1459.8"/>
    <x v="1"/>
  </r>
  <r>
    <x v="8"/>
    <x v="23"/>
    <x v="23"/>
    <n v="108"/>
    <n v="8.11"/>
    <m/>
    <m/>
    <n v="11"/>
    <n v="5"/>
    <n v="1"/>
    <n v="37.286666666666662"/>
    <n v="40.807083333333331"/>
    <n v="0.101007"/>
    <x v="0"/>
    <n v="100"/>
    <n v="9822"/>
    <n v="5"/>
    <n v="595"/>
    <n v="875.88"/>
    <x v="1"/>
  </r>
  <r>
    <x v="8"/>
    <x v="5"/>
    <x v="5"/>
    <n v="180"/>
    <n v="8.11"/>
    <m/>
    <m/>
    <n v="18"/>
    <n v="8"/>
    <n v="1"/>
    <n v="56.677500000000002"/>
    <n v="62.37"/>
    <n v="0.18866250000000001"/>
    <x v="0"/>
    <n v="100"/>
    <n v="9142"/>
    <n v="5"/>
    <n v="990"/>
    <n v="1459.8"/>
    <x v="1"/>
  </r>
  <r>
    <x v="8"/>
    <x v="6"/>
    <x v="6"/>
    <n v="180"/>
    <n v="8.11"/>
    <m/>
    <m/>
    <n v="18"/>
    <n v="8"/>
    <n v="1"/>
    <n v="56.677500000000002"/>
    <n v="62.37"/>
    <n v="0.18866250000000001"/>
    <x v="0"/>
    <n v="100"/>
    <n v="8908"/>
    <n v="5"/>
    <n v="990"/>
    <n v="1459.8"/>
    <x v="1"/>
  </r>
  <r>
    <x v="8"/>
    <x v="30"/>
    <x v="30"/>
    <n v="154"/>
    <n v="8.11"/>
    <m/>
    <m/>
    <n v="15"/>
    <n v="7"/>
    <n v="1"/>
    <n v="48.376250000000006"/>
    <n v="53.234999999999999"/>
    <n v="0.16141125000000003"/>
    <x v="0"/>
    <n v="100"/>
    <n v="6410"/>
    <n v="5"/>
    <n v="845"/>
    <n v="1248.94"/>
    <x v="1"/>
  </r>
  <r>
    <x v="8"/>
    <x v="31"/>
    <x v="31"/>
    <n v="154"/>
    <n v="8.11"/>
    <m/>
    <m/>
    <n v="15"/>
    <n v="7"/>
    <n v="1"/>
    <n v="48.376250000000006"/>
    <n v="53.234999999999999"/>
    <n v="0.16141125000000003"/>
    <x v="0"/>
    <n v="100"/>
    <n v="6478"/>
    <n v="5"/>
    <n v="845"/>
    <n v="1248.94"/>
    <x v="1"/>
  </r>
  <r>
    <x v="8"/>
    <x v="11"/>
    <x v="11"/>
    <n v="60"/>
    <n v="18.920000000000002"/>
    <m/>
    <m/>
    <n v="6"/>
    <n v="3"/>
    <n v="1"/>
    <n v="26.07"/>
    <n v="27.225000000000001"/>
    <n v="4.3243749999999997E-2"/>
    <x v="1"/>
    <n v="100"/>
    <n v="5041"/>
    <n v="11.68"/>
    <n v="770.88"/>
    <n v="1135.2"/>
    <x v="1"/>
  </r>
  <r>
    <x v="8"/>
    <x v="14"/>
    <x v="14"/>
    <n v="60"/>
    <n v="18.920000000000002"/>
    <m/>
    <m/>
    <n v="6"/>
    <n v="3"/>
    <n v="1"/>
    <n v="26.07"/>
    <n v="27.225000000000001"/>
    <n v="4.3243749999999997E-2"/>
    <x v="1"/>
    <n v="100"/>
    <n v="5724"/>
    <n v="11.68"/>
    <n v="770.88"/>
    <n v="1135.2"/>
    <x v="1"/>
  </r>
  <r>
    <x v="8"/>
    <x v="15"/>
    <x v="15"/>
    <n v="60"/>
    <n v="18.920000000000002"/>
    <m/>
    <m/>
    <n v="6"/>
    <n v="3"/>
    <n v="1"/>
    <n v="25.08"/>
    <n v="26.125"/>
    <n v="4.3828125000000002E-2"/>
    <x v="1"/>
    <n v="100"/>
    <n v="865"/>
    <n v="11.68"/>
    <n v="770.88"/>
    <n v="1135.2"/>
    <x v="1"/>
  </r>
  <r>
    <x v="8"/>
    <x v="16"/>
    <x v="16"/>
    <n v="60"/>
    <n v="18.920000000000002"/>
    <m/>
    <m/>
    <n v="6"/>
    <n v="3"/>
    <n v="1"/>
    <n v="25.08"/>
    <n v="26.125"/>
    <n v="4.3828125000000002E-2"/>
    <x v="1"/>
    <n v="100"/>
    <n v="576"/>
    <n v="11.68"/>
    <n v="770.88"/>
    <n v="1135.2"/>
    <x v="1"/>
  </r>
  <r>
    <x v="8"/>
    <x v="17"/>
    <x v="17"/>
    <n v="60"/>
    <n v="18.920000000000002"/>
    <m/>
    <m/>
    <n v="6"/>
    <n v="3"/>
    <n v="1"/>
    <n v="25.08"/>
    <n v="26.125"/>
    <n v="4.3828125000000002E-2"/>
    <x v="1"/>
    <n v="100"/>
    <n v="1979"/>
    <n v="11.68"/>
    <n v="770.88"/>
    <n v="1135.2"/>
    <x v="1"/>
  </r>
  <r>
    <x v="8"/>
    <x v="18"/>
    <x v="18"/>
    <n v="120"/>
    <n v="18.920000000000002"/>
    <m/>
    <m/>
    <n v="12"/>
    <n v="5"/>
    <n v="1"/>
    <n v="50.16"/>
    <n v="52.25"/>
    <n v="8.7656250000000005E-2"/>
    <x v="1"/>
    <n v="100"/>
    <n v="2589"/>
    <n v="11.68"/>
    <n v="1541.76"/>
    <n v="2270.4"/>
    <x v="1"/>
  </r>
  <r>
    <x v="8"/>
    <x v="24"/>
    <x v="24"/>
    <n v="180"/>
    <n v="8.11"/>
    <m/>
    <m/>
    <m/>
    <n v="15"/>
    <n v="0"/>
    <n v="75.599999999999994"/>
    <n v="86.85"/>
    <n v="0.42124499999999998"/>
    <x v="3"/>
    <n v="50"/>
    <n v="398"/>
    <n v="5.23"/>
    <n v="941.4"/>
    <n v="1459.8"/>
    <x v="1"/>
  </r>
  <r>
    <x v="8"/>
    <x v="26"/>
    <x v="26"/>
    <n v="96"/>
    <n v="8.11"/>
    <m/>
    <m/>
    <m/>
    <n v="8"/>
    <n v="0"/>
    <n v="40.32"/>
    <n v="46.32"/>
    <n v="0.224664"/>
    <x v="3"/>
    <n v="50"/>
    <n v="437"/>
    <n v="5.23"/>
    <n v="502.08"/>
    <n v="778.56"/>
    <x v="1"/>
  </r>
  <r>
    <x v="8"/>
    <x v="27"/>
    <x v="27"/>
    <n v="96"/>
    <n v="8.11"/>
    <m/>
    <m/>
    <m/>
    <n v="8"/>
    <n v="0"/>
    <n v="40.32"/>
    <n v="46.32"/>
    <n v="0.224664"/>
    <x v="3"/>
    <n v="50"/>
    <n v="437"/>
    <n v="5.23"/>
    <n v="502.08"/>
    <n v="778.56"/>
    <x v="1"/>
  </r>
  <r>
    <x v="8"/>
    <x v="28"/>
    <x v="28"/>
    <n v="156"/>
    <n v="8.11"/>
    <m/>
    <m/>
    <m/>
    <n v="13"/>
    <n v="0"/>
    <n v="62.14"/>
    <n v="68.25"/>
    <n v="0.36507899999999999"/>
    <x v="3"/>
    <n v="50"/>
    <n v="471"/>
    <n v="5.23"/>
    <n v="815.88"/>
    <n v="1265.1600000000001"/>
    <x v="1"/>
  </r>
  <r>
    <x v="8"/>
    <x v="29"/>
    <x v="29"/>
    <n v="156"/>
    <n v="8.11"/>
    <m/>
    <m/>
    <m/>
    <n v="13"/>
    <n v="0"/>
    <n v="62.14"/>
    <n v="68.25"/>
    <n v="0.36507899999999999"/>
    <x v="3"/>
    <n v="50"/>
    <n v="303"/>
    <n v="5.23"/>
    <n v="815.88"/>
    <n v="1265.1600000000001"/>
    <x v="1"/>
  </r>
  <r>
    <x v="8"/>
    <x v="32"/>
    <x v="32"/>
    <n v="156"/>
    <n v="8.11"/>
    <m/>
    <m/>
    <m/>
    <n v="13"/>
    <n v="0"/>
    <n v="62.14"/>
    <n v="68.25"/>
    <n v="0.36507899999999999"/>
    <x v="3"/>
    <n v="50"/>
    <n v="497"/>
    <n v="5.23"/>
    <n v="815.88"/>
    <n v="1265.1600000000001"/>
    <x v="1"/>
  </r>
  <r>
    <x v="8"/>
    <x v="33"/>
    <x v="33"/>
    <n v="156"/>
    <n v="8.11"/>
    <m/>
    <m/>
    <m/>
    <n v="13"/>
    <n v="0"/>
    <n v="62.14"/>
    <n v="68.25"/>
    <n v="0.36507899999999999"/>
    <x v="3"/>
    <n v="50"/>
    <n v="520"/>
    <n v="5.23"/>
    <n v="815.88"/>
    <n v="1265.1600000000001"/>
    <x v="1"/>
  </r>
  <r>
    <x v="8"/>
    <x v="34"/>
    <x v="34"/>
    <n v="156"/>
    <n v="8.7799999999999994"/>
    <m/>
    <m/>
    <m/>
    <n v="13"/>
    <n v="0"/>
    <n v="80.209999999999994"/>
    <n v="88.009999999999991"/>
    <n v="0.50676600000000005"/>
    <x v="3"/>
    <n v="50"/>
    <n v="309"/>
    <n v="6.97"/>
    <n v="1087.32"/>
    <n v="1369.68"/>
    <x v="1"/>
  </r>
  <r>
    <x v="8"/>
    <x v="9"/>
    <x v="9"/>
    <n v="120"/>
    <n v="2.7"/>
    <m/>
    <m/>
    <m/>
    <n v="5"/>
    <n v="0"/>
    <n v="31.75"/>
    <n v="35"/>
    <n v="7.9695000000000002E-2"/>
    <x v="2"/>
    <n v="200"/>
    <n v="2970"/>
    <n v="2.0499999999999998"/>
    <n v="246"/>
    <n v="324"/>
    <x v="1"/>
  </r>
  <r>
    <x v="8"/>
    <x v="35"/>
    <x v="35"/>
    <n v="120"/>
    <n v="2.7"/>
    <m/>
    <m/>
    <m/>
    <n v="5"/>
    <n v="0"/>
    <n v="31.75"/>
    <n v="35"/>
    <n v="7.9695000000000002E-2"/>
    <x v="2"/>
    <n v="200"/>
    <n v="666"/>
    <n v="2.0499999999999998"/>
    <n v="246"/>
    <n v="324"/>
    <x v="1"/>
  </r>
  <r>
    <x v="8"/>
    <x v="10"/>
    <x v="10"/>
    <n v="120"/>
    <n v="2.7"/>
    <m/>
    <m/>
    <m/>
    <n v="5"/>
    <n v="0"/>
    <n v="31.75"/>
    <n v="35"/>
    <n v="7.9695000000000002E-2"/>
    <x v="2"/>
    <n v="200"/>
    <n v="422"/>
    <n v="2.0499999999999998"/>
    <n v="246"/>
    <n v="324"/>
    <x v="1"/>
  </r>
  <r>
    <x v="8"/>
    <x v="36"/>
    <x v="36"/>
    <n v="120"/>
    <n v="2.7"/>
    <m/>
    <m/>
    <m/>
    <n v="5"/>
    <n v="0"/>
    <n v="31.75"/>
    <n v="35"/>
    <n v="7.9695000000000002E-2"/>
    <x v="2"/>
    <n v="200"/>
    <n v="618"/>
    <n v="2.0499999999999998"/>
    <n v="246"/>
    <n v="324"/>
    <x v="1"/>
  </r>
  <r>
    <x v="9"/>
    <x v="0"/>
    <x v="0"/>
    <n v="60"/>
    <n v="4.76"/>
    <m/>
    <m/>
    <n v="10"/>
    <n v="3"/>
    <n v="1"/>
    <n v="21.93333333333333"/>
    <n v="24.004166666666666"/>
    <n v="5.6114999999999998E-2"/>
    <x v="0"/>
    <n v="100"/>
    <m/>
    <n v="13057"/>
    <n v="5"/>
    <n v="350"/>
    <x v="1"/>
  </r>
  <r>
    <x v="9"/>
    <x v="22"/>
    <x v="22"/>
    <n v="20"/>
    <n v="4.76"/>
    <m/>
    <m/>
    <n v="3"/>
    <n v="1"/>
    <n v="1"/>
    <n v="7.2066666666666661"/>
    <n v="7.8870833333333339"/>
    <n v="1.8705000000000003E-2"/>
    <x v="0"/>
    <n v="100"/>
    <m/>
    <n v="12936"/>
    <n v="5"/>
    <n v="115"/>
    <x v="1"/>
  </r>
  <r>
    <x v="9"/>
    <x v="1"/>
    <x v="1"/>
    <n v="40"/>
    <n v="4.76"/>
    <m/>
    <m/>
    <n v="7"/>
    <n v="2"/>
    <n v="1"/>
    <n v="14.726666666666665"/>
    <n v="16.117083333333333"/>
    <n v="3.7410000000000006E-2"/>
    <x v="0"/>
    <n v="100"/>
    <m/>
    <n v="12592"/>
    <n v="5"/>
    <n v="235"/>
    <x v="1"/>
  </r>
  <r>
    <x v="9"/>
    <x v="23"/>
    <x v="23"/>
    <n v="40"/>
    <n v="4.76"/>
    <m/>
    <m/>
    <n v="7"/>
    <n v="2"/>
    <n v="1"/>
    <n v="14.726666666666665"/>
    <n v="16.117083333333333"/>
    <n v="3.7410000000000006E-2"/>
    <x v="0"/>
    <n v="100"/>
    <m/>
    <n v="9822"/>
    <n v="5"/>
    <n v="235"/>
    <x v="1"/>
  </r>
  <r>
    <x v="9"/>
    <x v="5"/>
    <x v="5"/>
    <n v="50"/>
    <n v="4.76"/>
    <m/>
    <m/>
    <n v="8"/>
    <n v="3"/>
    <n v="1"/>
    <n v="16.602499999999999"/>
    <n v="18.27"/>
    <n v="5.2406250000000001E-2"/>
    <x v="0"/>
    <n v="100"/>
    <m/>
    <n v="9142"/>
    <n v="5"/>
    <n v="290"/>
    <x v="1"/>
  </r>
  <r>
    <x v="9"/>
    <x v="6"/>
    <x v="6"/>
    <n v="40"/>
    <n v="4.76"/>
    <m/>
    <m/>
    <n v="7"/>
    <n v="2"/>
    <n v="1"/>
    <n v="13.453749999999999"/>
    <n v="14.804999999999998"/>
    <n v="4.1925000000000011E-2"/>
    <x v="0"/>
    <n v="100"/>
    <m/>
    <n v="8908"/>
    <n v="5"/>
    <n v="235"/>
    <x v="1"/>
  </r>
  <r>
    <x v="9"/>
    <x v="30"/>
    <x v="30"/>
    <n v="30"/>
    <n v="4.76"/>
    <m/>
    <m/>
    <n v="5"/>
    <n v="2"/>
    <n v="1"/>
    <n v="10.018749999999999"/>
    <n v="11.024999999999999"/>
    <n v="3.1443749999999999E-2"/>
    <x v="0"/>
    <n v="100"/>
    <m/>
    <n v="6410"/>
    <n v="5"/>
    <n v="175"/>
    <x v="1"/>
  </r>
  <r>
    <x v="9"/>
    <x v="37"/>
    <x v="37"/>
    <n v="100"/>
    <n v="5.6"/>
    <m/>
    <m/>
    <m/>
    <n v="9"/>
    <n v="0"/>
    <n v="48.75"/>
    <n v="55"/>
    <n v="0.2719664"/>
    <x v="3"/>
    <n v="100"/>
    <n v="0"/>
    <n v="100"/>
    <n v="0"/>
    <n v="0"/>
    <x v="1"/>
  </r>
  <r>
    <x v="9"/>
    <x v="38"/>
    <x v="38"/>
    <n v="250"/>
    <n v="5.6"/>
    <m/>
    <m/>
    <m/>
    <n v="21"/>
    <n v="0"/>
    <n v="121.87499999999999"/>
    <n v="137.49999999999997"/>
    <n v="0.67991599999999985"/>
    <x v="3"/>
    <n v="100"/>
    <n v="0"/>
    <n v="250"/>
    <n v="0"/>
    <n v="0"/>
    <x v="1"/>
  </r>
  <r>
    <x v="9"/>
    <x v="39"/>
    <x v="39"/>
    <n v="60"/>
    <n v="5.6"/>
    <m/>
    <m/>
    <m/>
    <n v="5"/>
    <n v="0"/>
    <n v="29.25"/>
    <n v="33"/>
    <n v="0.16317983999999999"/>
    <x v="3"/>
    <n v="100"/>
    <n v="0"/>
    <n v="60"/>
    <n v="0"/>
    <n v="0"/>
    <x v="1"/>
  </r>
  <r>
    <x v="9"/>
    <x v="40"/>
    <x v="40"/>
    <n v="250"/>
    <n v="5.6"/>
    <m/>
    <m/>
    <m/>
    <n v="21"/>
    <n v="0"/>
    <n v="121.87499999999999"/>
    <n v="137.49999999999997"/>
    <n v="0.67991599999999985"/>
    <x v="3"/>
    <n v="100"/>
    <n v="0"/>
    <n v="250"/>
    <n v="0"/>
    <n v="0"/>
    <x v="1"/>
  </r>
  <r>
    <x v="9"/>
    <x v="41"/>
    <x v="41"/>
    <n v="40"/>
    <n v="5.6"/>
    <m/>
    <m/>
    <m/>
    <n v="4"/>
    <n v="0"/>
    <n v="17.5"/>
    <n v="20"/>
    <n v="0.10687333333333335"/>
    <x v="3"/>
    <n v="100"/>
    <n v="0"/>
    <n v="40"/>
    <n v="0"/>
    <n v="0"/>
    <x v="1"/>
  </r>
  <r>
    <x v="10"/>
    <x v="42"/>
    <x v="42"/>
    <n v="6888"/>
    <n v="1.03"/>
    <m/>
    <m/>
    <m/>
    <n v="144"/>
    <n v="0"/>
    <n v="902.32800000000009"/>
    <n v="1009.6659999999999"/>
    <n v="3.7654399999999999"/>
    <x v="5"/>
    <n v="150"/>
    <n v="20448"/>
    <n v="0.81599999999999995"/>
    <n v="5620.6080000000002"/>
    <n v="7094.64"/>
    <x v="1"/>
  </r>
  <r>
    <x v="11"/>
    <x v="0"/>
    <x v="0"/>
    <m/>
    <m/>
    <m/>
    <m/>
    <n v="4"/>
    <n v="0"/>
    <n v="1"/>
    <n v="1.2533333333333332"/>
    <n v="1.3716666666666666"/>
    <n v="0"/>
    <x v="0"/>
    <n v="100"/>
    <n v="13057"/>
    <n v="5"/>
    <n v="20"/>
    <n v="0"/>
    <x v="1"/>
  </r>
  <r>
    <x v="11"/>
    <x v="1"/>
    <x v="1"/>
    <m/>
    <m/>
    <m/>
    <m/>
    <n v="3"/>
    <n v="0"/>
    <n v="1"/>
    <n v="0.94"/>
    <n v="1.0287500000000001"/>
    <n v="0"/>
    <x v="0"/>
    <n v="100"/>
    <n v="12592"/>
    <n v="5"/>
    <n v="15"/>
    <n v="0"/>
    <x v="1"/>
  </r>
  <r>
    <x v="11"/>
    <x v="5"/>
    <x v="5"/>
    <m/>
    <m/>
    <m/>
    <m/>
    <n v="1"/>
    <n v="0"/>
    <n v="1"/>
    <n v="0.28625"/>
    <n v="0.31499999999999995"/>
    <n v="0"/>
    <x v="0"/>
    <n v="100"/>
    <n v="9142"/>
    <n v="5"/>
    <n v="5"/>
    <n v="0"/>
    <x v="1"/>
  </r>
  <r>
    <x v="11"/>
    <x v="6"/>
    <x v="6"/>
    <m/>
    <m/>
    <m/>
    <m/>
    <n v="1"/>
    <n v="0"/>
    <n v="1"/>
    <n v="0.28625"/>
    <n v="0.31499999999999995"/>
    <n v="0"/>
    <x v="0"/>
    <n v="100"/>
    <n v="8908"/>
    <n v="5"/>
    <n v="5"/>
    <n v="0"/>
    <x v="1"/>
  </r>
  <r>
    <x v="11"/>
    <x v="7"/>
    <x v="7"/>
    <n v="1008"/>
    <n v="12.5"/>
    <m/>
    <m/>
    <n v="144"/>
    <n v="42"/>
    <n v="6"/>
    <n v="455.04"/>
    <n v="475.20000000000005"/>
    <n v="0.726495"/>
    <x v="1"/>
    <n v="100"/>
    <n v="1767"/>
    <n v="11.68"/>
    <n v="13455.36"/>
    <n v="12600"/>
    <x v="1"/>
  </r>
  <r>
    <x v="11"/>
    <x v="8"/>
    <x v="8"/>
    <n v="768"/>
    <n v="12.5"/>
    <m/>
    <m/>
    <n v="109"/>
    <n v="32"/>
    <n v="5"/>
    <n v="346.41500000000002"/>
    <n v="361.76249999999999"/>
    <n v="0.55352000000000001"/>
    <x v="1"/>
    <n v="100"/>
    <n v="1474"/>
    <n v="11.68"/>
    <n v="10243.36"/>
    <n v="9600"/>
    <x v="1"/>
  </r>
  <r>
    <x v="11"/>
    <x v="9"/>
    <x v="9"/>
    <m/>
    <m/>
    <m/>
    <m/>
    <n v="2"/>
    <n v="0"/>
    <n v="1"/>
    <n v="0.52916666666666656"/>
    <n v="0.58333333333333326"/>
    <n v="0"/>
    <x v="2"/>
    <n v="200"/>
    <n v="2970"/>
    <n v="2.0499999999999998"/>
    <n v="4.0999999999999996"/>
    <n v="0"/>
    <x v="1"/>
  </r>
  <r>
    <x v="11"/>
    <x v="10"/>
    <x v="10"/>
    <m/>
    <m/>
    <m/>
    <m/>
    <n v="5"/>
    <n v="0"/>
    <n v="1"/>
    <n v="1.3229166666666667"/>
    <n v="1.4583333333333335"/>
    <n v="0"/>
    <x v="2"/>
    <n v="200"/>
    <n v="422"/>
    <n v="2.0499999999999998"/>
    <n v="10.25"/>
    <n v="0"/>
    <x v="1"/>
  </r>
  <r>
    <x v="12"/>
    <x v="0"/>
    <x v="0"/>
    <n v="1356"/>
    <n v="5.56"/>
    <m/>
    <m/>
    <n v="130"/>
    <n v="57"/>
    <n v="6"/>
    <n v="465.61333333333329"/>
    <n v="509.57416666666666"/>
    <n v="1.2681990000000001"/>
    <x v="0"/>
    <n v="100"/>
    <s v="33030010"/>
    <n v="5"/>
    <n v="7430"/>
    <n v="7539.36"/>
    <x v="1"/>
  </r>
  <r>
    <x v="12"/>
    <x v="22"/>
    <x v="22"/>
    <n v="204"/>
    <n v="5.66"/>
    <m/>
    <m/>
    <n v="18"/>
    <n v="9"/>
    <n v="1"/>
    <n v="69.56"/>
    <n v="76.127499999999998"/>
    <n v="0.19079099999999999"/>
    <x v="0"/>
    <n v="100"/>
    <s v="33030010"/>
    <n v="5"/>
    <n v="1110"/>
    <n v="1154.6400000000001"/>
    <x v="1"/>
  </r>
  <r>
    <x v="12"/>
    <x v="1"/>
    <x v="1"/>
    <n v="600"/>
    <n v="5.56"/>
    <m/>
    <m/>
    <n v="60"/>
    <n v="25"/>
    <n v="3"/>
    <n v="206.79999999999998"/>
    <n v="226.32500000000002"/>
    <n v="0.56115000000000004"/>
    <x v="0"/>
    <n v="100"/>
    <s v="33030010"/>
    <n v="5"/>
    <n v="3300"/>
    <n v="3335.9999999999995"/>
    <x v="1"/>
  </r>
  <r>
    <x v="12"/>
    <x v="5"/>
    <x v="5"/>
    <n v="204"/>
    <n v="5.66"/>
    <m/>
    <m/>
    <n v="18"/>
    <n v="9"/>
    <n v="1"/>
    <n v="63.547499999999999"/>
    <n v="69.929999999999993"/>
    <n v="0.21381749999999999"/>
    <x v="0"/>
    <n v="100"/>
    <s v="33030010"/>
    <n v="5"/>
    <n v="1110"/>
    <n v="1154.6400000000001"/>
    <x v="1"/>
  </r>
  <r>
    <x v="12"/>
    <x v="13"/>
    <x v="13"/>
    <n v="504"/>
    <n v="9.31"/>
    <m/>
    <m/>
    <n v="48"/>
    <n v="21"/>
    <n v="2"/>
    <n v="218.04000000000002"/>
    <n v="227.70000000000002"/>
    <n v="0.3632475"/>
    <x v="1"/>
    <n v="100"/>
    <s v="33030010"/>
    <n v="11.68"/>
    <n v="6447.36"/>
    <n v="4692.2400000000007"/>
    <x v="1"/>
  </r>
  <r>
    <x v="12"/>
    <x v="17"/>
    <x v="17"/>
    <n v="60"/>
    <n v="9.31"/>
    <m/>
    <m/>
    <m/>
    <n v="3"/>
    <n v="0"/>
    <n v="22.799999999999997"/>
    <n v="23.75"/>
    <n v="4.3828125000000002E-2"/>
    <x v="1"/>
    <n v="100"/>
    <s v="33030010"/>
    <n v="11.68"/>
    <n v="700.8"/>
    <n v="558.6"/>
    <x v="1"/>
  </r>
  <r>
    <x v="12"/>
    <x v="24"/>
    <x v="24"/>
    <n v="1440"/>
    <n v="5.66"/>
    <m/>
    <m/>
    <m/>
    <n v="120"/>
    <n v="0"/>
    <n v="604.79999999999995"/>
    <n v="694.8"/>
    <n v="3.3699599999999998"/>
    <x v="3"/>
    <n v="50"/>
    <n v="0"/>
    <n v="5.23"/>
    <n v="7531.2000000000007"/>
    <n v="8150.4000000000005"/>
    <x v="1"/>
  </r>
  <r>
    <x v="12"/>
    <x v="26"/>
    <x v="26"/>
    <n v="1440"/>
    <n v="5.66"/>
    <m/>
    <m/>
    <m/>
    <n v="120"/>
    <n v="0"/>
    <n v="604.79999999999995"/>
    <n v="694.8"/>
    <n v="3.3699599999999998"/>
    <x v="3"/>
    <n v="50"/>
    <n v="0"/>
    <n v="5.23"/>
    <n v="7531.2000000000007"/>
    <n v="8150.4000000000005"/>
    <x v="1"/>
  </r>
  <r>
    <x v="13"/>
    <x v="7"/>
    <x v="7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  <r>
    <x v="13"/>
    <x v="8"/>
    <x v="8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  <r>
    <x v="14"/>
    <x v="8"/>
    <x v="8"/>
    <n v="750"/>
    <n v="13.5"/>
    <m/>
    <m/>
    <m/>
    <n v="32"/>
    <n v="0"/>
    <n v="296.25"/>
    <n v="309.375"/>
    <n v="0.54054687499999998"/>
    <x v="1"/>
    <n v="100"/>
    <n v="1474"/>
    <n v="11.68"/>
    <n v="8760"/>
    <n v="10125"/>
    <x v="0"/>
  </r>
  <r>
    <x v="15"/>
    <x v="0"/>
    <x v="0"/>
    <n v="1512"/>
    <n v="6"/>
    <m/>
    <m/>
    <n v="150"/>
    <n v="63"/>
    <n v="7"/>
    <n v="520.76"/>
    <n v="569.92750000000001"/>
    <n v="1.4140980000000001"/>
    <x v="0"/>
    <n v="100"/>
    <m/>
    <n v="13057"/>
    <n v="5"/>
    <n v="8310"/>
    <x v="1"/>
  </r>
  <r>
    <x v="15"/>
    <x v="22"/>
    <x v="22"/>
    <n v="1512"/>
    <n v="6"/>
    <m/>
    <m/>
    <n v="150"/>
    <n v="63"/>
    <n v="7"/>
    <n v="520.76"/>
    <n v="569.92750000000001"/>
    <n v="1.4140980000000001"/>
    <x v="0"/>
    <n v="100"/>
    <m/>
    <n v="12936"/>
    <n v="5"/>
    <n v="8310"/>
    <x v="1"/>
  </r>
  <r>
    <x v="15"/>
    <x v="1"/>
    <x v="1"/>
    <n v="1512"/>
    <n v="6"/>
    <m/>
    <m/>
    <n v="150"/>
    <n v="63"/>
    <n v="7"/>
    <n v="520.76"/>
    <n v="569.92750000000001"/>
    <n v="1.4140980000000001"/>
    <x v="0"/>
    <n v="100"/>
    <m/>
    <n v="12592"/>
    <n v="5"/>
    <n v="8310"/>
    <x v="1"/>
  </r>
  <r>
    <x v="15"/>
    <x v="23"/>
    <x v="23"/>
    <n v="1512"/>
    <n v="6"/>
    <m/>
    <m/>
    <n v="150"/>
    <n v="63"/>
    <n v="7"/>
    <n v="520.76"/>
    <n v="569.92750000000001"/>
    <n v="1.4140980000000001"/>
    <x v="0"/>
    <n v="100"/>
    <m/>
    <n v="9822"/>
    <n v="5"/>
    <n v="8310"/>
    <x v="1"/>
  </r>
  <r>
    <x v="15"/>
    <x v="5"/>
    <x v="5"/>
    <n v="1512"/>
    <n v="6"/>
    <m/>
    <m/>
    <n v="150"/>
    <n v="63"/>
    <n v="7"/>
    <n v="475.7475"/>
    <n v="523.53"/>
    <n v="1.584765"/>
    <x v="0"/>
    <n v="100"/>
    <m/>
    <n v="9142"/>
    <n v="5"/>
    <n v="8310"/>
    <x v="1"/>
  </r>
  <r>
    <x v="15"/>
    <x v="6"/>
    <x v="6"/>
    <n v="1512"/>
    <n v="6"/>
    <m/>
    <m/>
    <n v="150"/>
    <n v="63"/>
    <n v="7"/>
    <n v="475.7475"/>
    <n v="523.53"/>
    <n v="1.584765"/>
    <x v="0"/>
    <n v="100"/>
    <m/>
    <n v="8908"/>
    <n v="5"/>
    <n v="8310"/>
    <x v="1"/>
  </r>
  <r>
    <x v="15"/>
    <x v="30"/>
    <x v="30"/>
    <n v="1512"/>
    <n v="6"/>
    <m/>
    <m/>
    <n v="150"/>
    <n v="63"/>
    <n v="7"/>
    <n v="475.7475"/>
    <n v="523.53"/>
    <n v="1.584765"/>
    <x v="0"/>
    <n v="100"/>
    <m/>
    <n v="6410"/>
    <n v="5"/>
    <n v="8310"/>
    <x v="1"/>
  </r>
  <r>
    <x v="15"/>
    <x v="31"/>
    <x v="31"/>
    <n v="1512"/>
    <n v="6"/>
    <m/>
    <m/>
    <n v="150"/>
    <n v="63"/>
    <n v="7"/>
    <n v="475.7475"/>
    <n v="523.53"/>
    <n v="1.584765"/>
    <x v="0"/>
    <n v="100"/>
    <m/>
    <n v="6478"/>
    <n v="5"/>
    <n v="8310"/>
    <x v="1"/>
  </r>
  <r>
    <x v="16"/>
    <x v="7"/>
    <x v="7"/>
    <n v="5651"/>
    <m/>
    <m/>
    <m/>
    <m/>
    <n v="236"/>
    <n v="0"/>
    <n v="2232.145"/>
    <n v="2331.0375000000004"/>
    <n v="4.0728405208333331"/>
    <x v="1"/>
    <n v="100"/>
    <m/>
    <n v="1767"/>
    <n v="11.68"/>
    <n v="66003.679999999993"/>
    <x v="2"/>
  </r>
  <r>
    <x v="16"/>
    <x v="8"/>
    <x v="8"/>
    <n v="5355"/>
    <m/>
    <m/>
    <m/>
    <m/>
    <n v="224"/>
    <n v="0"/>
    <n v="2115.2249999999999"/>
    <n v="2208.9375"/>
    <n v="3.8595046874999999"/>
    <x v="1"/>
    <n v="100"/>
    <m/>
    <n v="1474"/>
    <n v="11.68"/>
    <n v="62546.400000000001"/>
    <x v="2"/>
  </r>
  <r>
    <x v="16"/>
    <x v="20"/>
    <x v="20"/>
    <n v="1128"/>
    <m/>
    <m/>
    <m/>
    <m/>
    <n v="47"/>
    <n v="0"/>
    <n v="445.56"/>
    <n v="465.3"/>
    <n v="0.81298250000000005"/>
    <x v="4"/>
    <n v="100"/>
    <m/>
    <n v="912"/>
    <n v="6.25"/>
    <n v="7050"/>
    <x v="2"/>
  </r>
  <r>
    <x v="16"/>
    <x v="21"/>
    <x v="21"/>
    <n v="1131"/>
    <m/>
    <m/>
    <m/>
    <m/>
    <n v="48"/>
    <n v="0"/>
    <n v="446.745"/>
    <n v="466.53750000000002"/>
    <n v="0.81514468750000002"/>
    <x v="4"/>
    <n v="100"/>
    <m/>
    <n v="912"/>
    <n v="6.25"/>
    <n v="7068.75"/>
    <x v="2"/>
  </r>
  <r>
    <x v="17"/>
    <x v="0"/>
    <x v="0"/>
    <m/>
    <m/>
    <m/>
    <m/>
    <n v="1"/>
    <n v="0"/>
    <n v="1"/>
    <n v="0.3133333333333333"/>
    <n v="0.34291666666666665"/>
    <n v="0"/>
    <x v="0"/>
    <n v="100"/>
    <m/>
    <n v="13057"/>
    <n v="5"/>
    <n v="5"/>
    <x v="3"/>
  </r>
  <r>
    <x v="17"/>
    <x v="22"/>
    <x v="22"/>
    <m/>
    <m/>
    <m/>
    <m/>
    <n v="1"/>
    <n v="0"/>
    <n v="1"/>
    <n v="0.3133333333333333"/>
    <n v="0.34291666666666665"/>
    <n v="0"/>
    <x v="0"/>
    <n v="100"/>
    <m/>
    <n v="12936"/>
    <n v="5"/>
    <n v="5"/>
    <x v="3"/>
  </r>
  <r>
    <x v="17"/>
    <x v="1"/>
    <x v="1"/>
    <m/>
    <m/>
    <m/>
    <m/>
    <n v="1"/>
    <n v="0"/>
    <n v="1"/>
    <n v="0.3133333333333333"/>
    <n v="0.34291666666666665"/>
    <n v="0"/>
    <x v="0"/>
    <n v="100"/>
    <m/>
    <n v="12592"/>
    <n v="5"/>
    <n v="5"/>
    <x v="3"/>
  </r>
  <r>
    <x v="17"/>
    <x v="23"/>
    <x v="23"/>
    <m/>
    <m/>
    <m/>
    <m/>
    <n v="1"/>
    <n v="0"/>
    <n v="1"/>
    <n v="0.3133333333333333"/>
    <n v="0.34291666666666665"/>
    <n v="0"/>
    <x v="0"/>
    <n v="100"/>
    <m/>
    <n v="9822"/>
    <n v="5"/>
    <n v="5"/>
    <x v="3"/>
  </r>
  <r>
    <x v="17"/>
    <x v="5"/>
    <x v="5"/>
    <m/>
    <m/>
    <m/>
    <m/>
    <n v="1"/>
    <n v="0"/>
    <n v="1"/>
    <n v="0.28625"/>
    <n v="0.31499999999999995"/>
    <n v="0"/>
    <x v="0"/>
    <n v="100"/>
    <m/>
    <n v="9142"/>
    <n v="5"/>
    <n v="5"/>
    <x v="3"/>
  </r>
  <r>
    <x v="17"/>
    <x v="6"/>
    <x v="6"/>
    <m/>
    <m/>
    <m/>
    <m/>
    <n v="1"/>
    <n v="0"/>
    <n v="1"/>
    <n v="0.28625"/>
    <n v="0.31499999999999995"/>
    <n v="0"/>
    <x v="0"/>
    <n v="100"/>
    <m/>
    <n v="8908"/>
    <n v="5"/>
    <n v="5"/>
    <x v="3"/>
  </r>
  <r>
    <x v="17"/>
    <x v="30"/>
    <x v="30"/>
    <m/>
    <m/>
    <m/>
    <m/>
    <n v="1"/>
    <n v="0"/>
    <n v="1"/>
    <n v="0.28625"/>
    <n v="0.31499999999999995"/>
    <n v="0"/>
    <x v="0"/>
    <n v="100"/>
    <m/>
    <n v="6410"/>
    <n v="5"/>
    <n v="5"/>
    <x v="3"/>
  </r>
  <r>
    <x v="17"/>
    <x v="31"/>
    <x v="31"/>
    <m/>
    <m/>
    <m/>
    <m/>
    <n v="1"/>
    <n v="0"/>
    <n v="1"/>
    <n v="0.28625"/>
    <n v="0.31499999999999995"/>
    <n v="0"/>
    <x v="0"/>
    <n v="100"/>
    <m/>
    <n v="6478"/>
    <n v="5"/>
    <n v="5"/>
    <x v="3"/>
  </r>
  <r>
    <x v="17"/>
    <x v="11"/>
    <x v="11"/>
    <m/>
    <m/>
    <m/>
    <m/>
    <n v="1"/>
    <n v="0"/>
    <n v="1"/>
    <n v="0.39500000000000002"/>
    <n v="0.41249999999999998"/>
    <n v="0"/>
    <x v="1"/>
    <n v="100"/>
    <m/>
    <n v="5041"/>
    <n v="11.68"/>
    <n v="11.68"/>
    <x v="3"/>
  </r>
  <r>
    <x v="17"/>
    <x v="12"/>
    <x v="12"/>
    <m/>
    <m/>
    <m/>
    <m/>
    <n v="1"/>
    <n v="0"/>
    <n v="1"/>
    <n v="0.39500000000000002"/>
    <n v="0.41249999999999998"/>
    <n v="0"/>
    <x v="1"/>
    <n v="100"/>
    <m/>
    <n v="1535"/>
    <n v="11.68"/>
    <n v="11.68"/>
    <x v="3"/>
  </r>
  <r>
    <x v="17"/>
    <x v="13"/>
    <x v="13"/>
    <m/>
    <m/>
    <m/>
    <m/>
    <n v="1"/>
    <n v="0"/>
    <n v="1"/>
    <n v="0.39500000000000002"/>
    <n v="0.41249999999999998"/>
    <n v="0"/>
    <x v="1"/>
    <n v="100"/>
    <m/>
    <n v="1665"/>
    <n v="11.68"/>
    <n v="11.68"/>
    <x v="3"/>
  </r>
  <r>
    <x v="17"/>
    <x v="14"/>
    <x v="14"/>
    <m/>
    <m/>
    <m/>
    <m/>
    <n v="1"/>
    <n v="0"/>
    <n v="1"/>
    <n v="0.39500000000000002"/>
    <n v="0.41249999999999998"/>
    <n v="0"/>
    <x v="1"/>
    <n v="100"/>
    <m/>
    <n v="5724"/>
    <n v="11.68"/>
    <n v="11.68"/>
    <x v="3"/>
  </r>
  <r>
    <x v="17"/>
    <x v="15"/>
    <x v="15"/>
    <m/>
    <m/>
    <m/>
    <m/>
    <n v="1"/>
    <n v="0"/>
    <n v="1"/>
    <n v="0.37999999999999995"/>
    <n v="0.39583333333333331"/>
    <n v="0"/>
    <x v="1"/>
    <n v="100"/>
    <m/>
    <n v="865"/>
    <n v="11.68"/>
    <n v="11.68"/>
    <x v="3"/>
  </r>
  <r>
    <x v="17"/>
    <x v="16"/>
    <x v="16"/>
    <m/>
    <m/>
    <m/>
    <m/>
    <n v="1"/>
    <n v="0"/>
    <n v="1"/>
    <n v="0.37999999999999995"/>
    <n v="0.39583333333333331"/>
    <n v="0"/>
    <x v="1"/>
    <n v="100"/>
    <m/>
    <n v="576"/>
    <n v="11.68"/>
    <n v="11.68"/>
    <x v="3"/>
  </r>
  <r>
    <x v="17"/>
    <x v="17"/>
    <x v="17"/>
    <m/>
    <m/>
    <m/>
    <m/>
    <n v="1"/>
    <n v="0"/>
    <n v="1"/>
    <n v="0.37999999999999995"/>
    <n v="0.39583333333333331"/>
    <n v="0"/>
    <x v="1"/>
    <n v="100"/>
    <m/>
    <n v="1979"/>
    <n v="11.68"/>
    <n v="11.68"/>
    <x v="3"/>
  </r>
  <r>
    <x v="17"/>
    <x v="18"/>
    <x v="18"/>
    <m/>
    <m/>
    <m/>
    <m/>
    <n v="1"/>
    <n v="0"/>
    <n v="1"/>
    <n v="0.37999999999999995"/>
    <n v="0.39583333333333331"/>
    <n v="0"/>
    <x v="1"/>
    <n v="100"/>
    <m/>
    <n v="2589"/>
    <n v="11.68"/>
    <n v="11.68"/>
    <x v="3"/>
  </r>
  <r>
    <x v="17"/>
    <x v="7"/>
    <x v="7"/>
    <m/>
    <m/>
    <m/>
    <m/>
    <n v="1"/>
    <n v="0"/>
    <n v="1"/>
    <n v="0.39500000000000002"/>
    <n v="0.41249999999999998"/>
    <n v="0"/>
    <x v="1"/>
    <n v="100"/>
    <m/>
    <n v="1767"/>
    <n v="11.68"/>
    <n v="11.68"/>
    <x v="3"/>
  </r>
  <r>
    <x v="17"/>
    <x v="8"/>
    <x v="8"/>
    <m/>
    <m/>
    <m/>
    <m/>
    <n v="1"/>
    <n v="0"/>
    <n v="1"/>
    <n v="0.39500000000000002"/>
    <n v="0.41249999999999998"/>
    <n v="0"/>
    <x v="1"/>
    <n v="100"/>
    <m/>
    <n v="1474"/>
    <n v="11.68"/>
    <n v="11.68"/>
    <x v="3"/>
  </r>
  <r>
    <x v="17"/>
    <x v="24"/>
    <x v="24"/>
    <m/>
    <m/>
    <m/>
    <m/>
    <n v="1"/>
    <n v="0"/>
    <n v="1"/>
    <n v="0.42"/>
    <n v="0.48249999999999998"/>
    <n v="0"/>
    <x v="3"/>
    <n v="50"/>
    <n v="0"/>
    <n v="398"/>
    <n v="5.23"/>
    <n v="5.23"/>
    <x v="3"/>
  </r>
  <r>
    <x v="17"/>
    <x v="28"/>
    <x v="28"/>
    <m/>
    <m/>
    <m/>
    <m/>
    <n v="1"/>
    <n v="0"/>
    <n v="1"/>
    <n v="0.39833333333333332"/>
    <n v="0.4375"/>
    <n v="0"/>
    <x v="3"/>
    <n v="50"/>
    <n v="0"/>
    <n v="471"/>
    <n v="5.23"/>
    <n v="5.23"/>
    <x v="3"/>
  </r>
  <r>
    <x v="17"/>
    <x v="34"/>
    <x v="34"/>
    <m/>
    <m/>
    <m/>
    <m/>
    <n v="1"/>
    <n v="0"/>
    <n v="1"/>
    <n v="0.51416666666666666"/>
    <n v="0.56416666666666659"/>
    <n v="0"/>
    <x v="3"/>
    <n v="50"/>
    <n v="0"/>
    <n v="309"/>
    <n v="6.97"/>
    <n v="6.97"/>
    <x v="3"/>
  </r>
  <r>
    <x v="17"/>
    <x v="43"/>
    <x v="43"/>
    <m/>
    <m/>
    <m/>
    <m/>
    <n v="1"/>
    <n v="0"/>
    <n v="1"/>
    <n v="0.47499999999999998"/>
    <n v="0.52499999999999991"/>
    <n v="0"/>
    <x v="3"/>
    <n v="50"/>
    <n v="0"/>
    <n v="11"/>
    <n v="6.97"/>
    <n v="6.97"/>
    <x v="3"/>
  </r>
  <r>
    <x v="18"/>
    <x v="11"/>
    <x v="11"/>
    <m/>
    <m/>
    <m/>
    <m/>
    <n v="3"/>
    <n v="0"/>
    <n v="1"/>
    <n v="1.1850000000000001"/>
    <n v="1.2375"/>
    <n v="0"/>
    <x v="1"/>
    <n v="100"/>
    <m/>
    <n v="5041"/>
    <n v="11.68"/>
    <n v="35.04"/>
    <x v="3"/>
  </r>
  <r>
    <x v="18"/>
    <x v="12"/>
    <x v="12"/>
    <m/>
    <m/>
    <m/>
    <m/>
    <n v="3"/>
    <n v="0"/>
    <n v="1"/>
    <n v="1.1850000000000001"/>
    <n v="1.2375"/>
    <n v="0"/>
    <x v="1"/>
    <n v="100"/>
    <m/>
    <n v="1535"/>
    <n v="11.68"/>
    <n v="35.04"/>
    <x v="3"/>
  </r>
  <r>
    <x v="18"/>
    <x v="13"/>
    <x v="13"/>
    <m/>
    <m/>
    <m/>
    <m/>
    <n v="3"/>
    <n v="0"/>
    <n v="1"/>
    <n v="1.1850000000000001"/>
    <n v="1.2375"/>
    <n v="0"/>
    <x v="1"/>
    <n v="100"/>
    <m/>
    <n v="1665"/>
    <n v="11.68"/>
    <n v="35.04"/>
    <x v="3"/>
  </r>
  <r>
    <x v="18"/>
    <x v="14"/>
    <x v="14"/>
    <m/>
    <m/>
    <m/>
    <m/>
    <n v="3"/>
    <n v="0"/>
    <n v="1"/>
    <n v="1.1850000000000001"/>
    <n v="1.2375"/>
    <n v="0"/>
    <x v="1"/>
    <n v="100"/>
    <m/>
    <n v="5724"/>
    <n v="11.68"/>
    <n v="35.04"/>
    <x v="3"/>
  </r>
  <r>
    <x v="18"/>
    <x v="15"/>
    <x v="15"/>
    <m/>
    <m/>
    <m/>
    <m/>
    <n v="3"/>
    <n v="0"/>
    <n v="1"/>
    <n v="1.1399999999999999"/>
    <n v="1.1875"/>
    <n v="0"/>
    <x v="1"/>
    <n v="100"/>
    <m/>
    <n v="865"/>
    <n v="11.68"/>
    <n v="35.04"/>
    <x v="3"/>
  </r>
  <r>
    <x v="18"/>
    <x v="16"/>
    <x v="16"/>
    <m/>
    <m/>
    <m/>
    <m/>
    <n v="3"/>
    <n v="0"/>
    <n v="1"/>
    <n v="1.1399999999999999"/>
    <n v="1.1875"/>
    <n v="0"/>
    <x v="1"/>
    <n v="100"/>
    <m/>
    <n v="576"/>
    <n v="11.68"/>
    <n v="35.04"/>
    <x v="3"/>
  </r>
  <r>
    <x v="18"/>
    <x v="17"/>
    <x v="17"/>
    <m/>
    <m/>
    <m/>
    <m/>
    <n v="3"/>
    <n v="0"/>
    <n v="1"/>
    <n v="1.1399999999999999"/>
    <n v="1.1875"/>
    <n v="0"/>
    <x v="1"/>
    <n v="100"/>
    <m/>
    <n v="1979"/>
    <n v="11.68"/>
    <n v="35.04"/>
    <x v="3"/>
  </r>
  <r>
    <x v="18"/>
    <x v="18"/>
    <x v="18"/>
    <m/>
    <m/>
    <m/>
    <m/>
    <n v="3"/>
    <n v="0"/>
    <n v="1"/>
    <n v="1.1399999999999999"/>
    <n v="1.1875"/>
    <n v="0"/>
    <x v="1"/>
    <n v="100"/>
    <m/>
    <n v="2589"/>
    <n v="11.68"/>
    <n v="35.04"/>
    <x v="3"/>
  </r>
  <r>
    <x v="18"/>
    <x v="7"/>
    <x v="7"/>
    <m/>
    <m/>
    <m/>
    <m/>
    <n v="3"/>
    <n v="0"/>
    <n v="1"/>
    <n v="1.1850000000000001"/>
    <n v="1.2375"/>
    <n v="0"/>
    <x v="1"/>
    <n v="100"/>
    <m/>
    <n v="1767"/>
    <n v="11.68"/>
    <n v="35.04"/>
    <x v="3"/>
  </r>
  <r>
    <x v="18"/>
    <x v="8"/>
    <x v="8"/>
    <m/>
    <m/>
    <m/>
    <m/>
    <n v="3"/>
    <n v="0"/>
    <n v="1"/>
    <n v="1.1850000000000001"/>
    <n v="1.2375"/>
    <n v="0"/>
    <x v="1"/>
    <n v="100"/>
    <m/>
    <n v="1474"/>
    <n v="11.68"/>
    <n v="35.04"/>
    <x v="3"/>
  </r>
  <r>
    <x v="19"/>
    <x v="44"/>
    <x v="44"/>
    <m/>
    <m/>
    <m/>
    <m/>
    <m/>
    <m/>
    <m/>
    <m/>
    <m/>
    <m/>
    <x v="6"/>
    <n v="0"/>
    <n v="0"/>
    <m/>
    <m/>
    <m/>
    <x v="1"/>
  </r>
  <r>
    <x v="19"/>
    <x v="45"/>
    <x v="45"/>
    <m/>
    <m/>
    <m/>
    <m/>
    <m/>
    <m/>
    <m/>
    <m/>
    <m/>
    <m/>
    <x v="6"/>
    <n v="0"/>
    <n v="0"/>
    <m/>
    <m/>
    <m/>
    <x v="1"/>
  </r>
  <r>
    <x v="20"/>
    <x v="19"/>
    <x v="19"/>
    <n v="3000"/>
    <n v="22.5"/>
    <m/>
    <m/>
    <m/>
    <n v="125"/>
    <n v="0"/>
    <n v="2190"/>
    <n v="2562.5"/>
    <n v="9.1999999999999993"/>
    <x v="3"/>
    <n v="100"/>
    <n v="0"/>
    <n v="0"/>
    <n v="15"/>
    <n v="45000"/>
    <x v="1"/>
  </r>
  <r>
    <x v="21"/>
    <x v="7"/>
    <x v="7"/>
    <n v="492"/>
    <n v="12.5"/>
    <m/>
    <m/>
    <n v="70"/>
    <n v="21"/>
    <n v="3"/>
    <n v="221.99"/>
    <n v="231.82500000000002"/>
    <n v="0.35459875000000002"/>
    <x v="1"/>
    <n v="100"/>
    <m/>
    <n v="1767"/>
    <n v="11.68"/>
    <n v="6564.16"/>
    <x v="1"/>
  </r>
  <r>
    <x v="21"/>
    <x v="8"/>
    <x v="8"/>
    <n v="732"/>
    <n v="12.5"/>
    <m/>
    <m/>
    <n v="105"/>
    <n v="31"/>
    <n v="5"/>
    <n v="330.61500000000001"/>
    <n v="345.26249999999999"/>
    <n v="0.52757374999999995"/>
    <x v="1"/>
    <n v="100"/>
    <m/>
    <n v="1474"/>
    <n v="11.68"/>
    <n v="9776.16"/>
    <x v="1"/>
  </r>
  <r>
    <x v="22"/>
    <x v="46"/>
    <x v="46"/>
    <n v="10368"/>
    <n v="1.06"/>
    <m/>
    <m/>
    <m/>
    <n v="216"/>
    <n v="0"/>
    <n v="1615.68"/>
    <n v="1663.2"/>
    <n v="7.354152"/>
    <x v="5"/>
    <n v="175"/>
    <m/>
    <n v="9572"/>
    <n v="1.1599999999999999"/>
    <n v="12026.88"/>
    <x v="1"/>
  </r>
  <r>
    <x v="22"/>
    <x v="47"/>
    <x v="47"/>
    <n v="10368"/>
    <n v="1.06"/>
    <m/>
    <m/>
    <m/>
    <n v="216"/>
    <n v="0"/>
    <n v="1615.68"/>
    <n v="1663.2"/>
    <n v="7.354152"/>
    <x v="5"/>
    <n v="175"/>
    <m/>
    <n v="9823"/>
    <n v="1.1599999999999999"/>
    <n v="12026.88"/>
    <x v="1"/>
  </r>
  <r>
    <x v="22"/>
    <x v="48"/>
    <x v="48"/>
    <n v="10368"/>
    <n v="1.06"/>
    <m/>
    <m/>
    <m/>
    <n v="216"/>
    <n v="0"/>
    <n v="1615.68"/>
    <n v="1663.2"/>
    <n v="7.354152"/>
    <x v="5"/>
    <n v="175"/>
    <m/>
    <n v="9828"/>
    <n v="1.1599999999999999"/>
    <n v="12026.88"/>
    <x v="1"/>
  </r>
  <r>
    <x v="22"/>
    <x v="49"/>
    <x v="49"/>
    <n v="10368"/>
    <n v="1.06"/>
    <m/>
    <m/>
    <m/>
    <n v="216"/>
    <n v="0"/>
    <n v="1615.68"/>
    <n v="1663.2"/>
    <n v="7.354152"/>
    <x v="5"/>
    <n v="175"/>
    <m/>
    <n v="9401"/>
    <n v="1.1599999999999999"/>
    <n v="12026.88"/>
    <x v="1"/>
  </r>
  <r>
    <x v="22"/>
    <x v="42"/>
    <x v="42"/>
    <n v="3840"/>
    <n v="1.03"/>
    <m/>
    <m/>
    <m/>
    <n v="80"/>
    <n v="0"/>
    <n v="503.04"/>
    <n v="562.88"/>
    <n v="2.0992000000000002"/>
    <x v="5"/>
    <n v="150"/>
    <m/>
    <n v="20448"/>
    <n v="0.81599999999999995"/>
    <n v="3133.44"/>
    <x v="1"/>
  </r>
  <r>
    <x v="23"/>
    <x v="50"/>
    <x v="50"/>
    <n v="22092"/>
    <n v="1"/>
    <m/>
    <m/>
    <m/>
    <n v="461"/>
    <n v="0"/>
    <n v="0"/>
    <n v="0"/>
    <n v="0"/>
    <x v="7"/>
    <n v="0"/>
    <n v="0"/>
    <n v="0"/>
    <n v="0.93"/>
    <n v="20545.560000000001"/>
    <x v="1"/>
  </r>
  <r>
    <x v="23"/>
    <x v="51"/>
    <x v="51"/>
    <n v="24828"/>
    <n v="1"/>
    <m/>
    <m/>
    <m/>
    <n v="518"/>
    <n v="0"/>
    <n v="0"/>
    <n v="0"/>
    <n v="0"/>
    <x v="7"/>
    <n v="0"/>
    <n v="0"/>
    <n v="0"/>
    <n v="0.93"/>
    <n v="23090.04"/>
    <x v="1"/>
  </r>
  <r>
    <x v="23"/>
    <x v="52"/>
    <x v="52"/>
    <n v="21120"/>
    <n v="1"/>
    <m/>
    <m/>
    <m/>
    <n v="440"/>
    <n v="0"/>
    <n v="0"/>
    <n v="0"/>
    <n v="0"/>
    <x v="7"/>
    <n v="0"/>
    <n v="0"/>
    <n v="0"/>
    <n v="0.93"/>
    <n v="19641.599999999999"/>
    <x v="1"/>
  </r>
  <r>
    <x v="23"/>
    <x v="53"/>
    <x v="53"/>
    <n v="23352"/>
    <n v="1"/>
    <m/>
    <m/>
    <m/>
    <n v="487"/>
    <n v="0"/>
    <n v="0"/>
    <n v="0"/>
    <n v="0"/>
    <x v="7"/>
    <n v="0"/>
    <n v="0"/>
    <n v="0"/>
    <n v="0.93"/>
    <n v="21717.360000000001"/>
    <x v="1"/>
  </r>
  <r>
    <x v="24"/>
    <x v="54"/>
    <x v="54"/>
    <n v="4608"/>
    <m/>
    <m/>
    <m/>
    <m/>
    <n v="192"/>
    <n v="0"/>
    <n v="921.59999999999991"/>
    <n v="998.40000000000009"/>
    <n v="2.7719999999999998"/>
    <x v="0"/>
    <n v="50"/>
    <m/>
    <n v="0"/>
    <n v="4"/>
    <n v="18432"/>
    <x v="2"/>
  </r>
  <r>
    <x v="24"/>
    <x v="55"/>
    <x v="55"/>
    <n v="4608"/>
    <m/>
    <m/>
    <m/>
    <m/>
    <n v="192"/>
    <n v="0"/>
    <n v="921.59999999999991"/>
    <n v="998.40000000000009"/>
    <n v="2.7719999999999998"/>
    <x v="0"/>
    <n v="50"/>
    <m/>
    <n v="301"/>
    <n v="4"/>
    <n v="18432"/>
    <x v="2"/>
  </r>
  <r>
    <x v="24"/>
    <x v="56"/>
    <x v="56"/>
    <n v="4992"/>
    <m/>
    <m/>
    <m/>
    <m/>
    <n v="208"/>
    <n v="0"/>
    <n v="973.43999999999994"/>
    <n v="1056.6400000000001"/>
    <n v="3.8345424000000001"/>
    <x v="0"/>
    <n v="50"/>
    <m/>
    <n v="0"/>
    <n v="4.0049999999999999"/>
    <n v="19992.96"/>
    <x v="2"/>
  </r>
  <r>
    <x v="24"/>
    <x v="4"/>
    <x v="4"/>
    <n v="4608"/>
    <m/>
    <m/>
    <m/>
    <m/>
    <n v="192"/>
    <n v="0"/>
    <n v="898.56"/>
    <n v="975.36"/>
    <n v="3.5395775999999999"/>
    <x v="0"/>
    <n v="50"/>
    <m/>
    <n v="49"/>
    <n v="4"/>
    <n v="18432"/>
    <x v="2"/>
  </r>
  <r>
    <x v="24"/>
    <x v="57"/>
    <x v="57"/>
    <n v="4608"/>
    <m/>
    <m/>
    <m/>
    <m/>
    <n v="192"/>
    <n v="0"/>
    <n v="898.56"/>
    <n v="975.36"/>
    <n v="3.5395775999999999"/>
    <x v="0"/>
    <n v="50"/>
    <m/>
    <n v="9"/>
    <n v="4.45"/>
    <n v="20505.599999999999"/>
    <x v="2"/>
  </r>
  <r>
    <x v="24"/>
    <x v="58"/>
    <x v="58"/>
    <n v="4985"/>
    <m/>
    <m/>
    <m/>
    <m/>
    <n v="208"/>
    <n v="0"/>
    <n v="972.07499999999993"/>
    <n v="1055.1583333333333"/>
    <n v="3.8291654374999999"/>
    <x v="0"/>
    <n v="50"/>
    <m/>
    <n v="0"/>
    <n v="4.45"/>
    <n v="22183.25"/>
    <x v="2"/>
  </r>
  <r>
    <x v="24"/>
    <x v="11"/>
    <x v="11"/>
    <n v="4942"/>
    <m/>
    <m/>
    <m/>
    <m/>
    <n v="206"/>
    <n v="0"/>
    <n v="1952.09"/>
    <n v="2038.575"/>
    <n v="3.5618435416666667"/>
    <x v="1"/>
    <n v="100"/>
    <m/>
    <n v="5041"/>
    <n v="11.68"/>
    <n v="57722.559999999998"/>
    <x v="2"/>
  </r>
  <r>
    <x v="24"/>
    <x v="13"/>
    <x v="13"/>
    <n v="2972"/>
    <m/>
    <m/>
    <m/>
    <m/>
    <n v="124"/>
    <n v="0"/>
    <n v="1173.94"/>
    <n v="1225.95"/>
    <n v="2.1420070833333331"/>
    <x v="1"/>
    <n v="100"/>
    <m/>
    <n v="1665"/>
    <n v="11.68"/>
    <n v="34712.959999999999"/>
    <x v="2"/>
  </r>
  <r>
    <x v="24"/>
    <x v="7"/>
    <x v="7"/>
    <n v="902"/>
    <m/>
    <m/>
    <m/>
    <m/>
    <n v="38"/>
    <n v="0"/>
    <n v="356.29"/>
    <n v="372.07500000000005"/>
    <n v="0.65009770833333336"/>
    <x v="1"/>
    <n v="100"/>
    <m/>
    <n v="1767"/>
    <n v="11.68"/>
    <n v="10535.36"/>
    <x v="2"/>
  </r>
  <r>
    <x v="24"/>
    <x v="8"/>
    <x v="8"/>
    <n v="1016"/>
    <m/>
    <m/>
    <m/>
    <m/>
    <n v="43"/>
    <n v="0"/>
    <n v="401.32000000000005"/>
    <n v="419.1"/>
    <n v="0.73226083333333336"/>
    <x v="1"/>
    <n v="100"/>
    <m/>
    <n v="1474"/>
    <n v="11.68"/>
    <n v="11866.88"/>
    <x v="2"/>
  </r>
  <r>
    <x v="25"/>
    <x v="59"/>
    <x v="59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6"/>
    <x v="60"/>
    <x v="60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1"/>
    <x v="61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2"/>
    <x v="62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3"/>
    <x v="63"/>
    <n v="2496"/>
    <m/>
    <m/>
    <m/>
    <m/>
    <n v="104"/>
    <n v="0"/>
    <n v="0"/>
    <n v="0"/>
    <n v="0"/>
    <x v="5"/>
    <n v="100"/>
    <n v="33072000"/>
    <n v="0"/>
    <n v="4.21"/>
    <n v="10508.16"/>
    <x v="2"/>
  </r>
  <r>
    <x v="26"/>
    <x v="64"/>
    <x v="64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6"/>
    <x v="65"/>
    <x v="65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6"/>
    <x v="66"/>
    <x v="66"/>
    <n v="5016"/>
    <m/>
    <m/>
    <m/>
    <m/>
    <n v="209"/>
    <n v="0"/>
    <n v="0"/>
    <n v="0"/>
    <n v="0"/>
    <x v="5"/>
    <n v="100"/>
    <n v="33072000"/>
    <n v="0"/>
    <n v="4.21"/>
    <n v="21117.360000000001"/>
    <x v="2"/>
  </r>
  <r>
    <x v="27"/>
    <x v="0"/>
    <x v="0"/>
    <m/>
    <m/>
    <m/>
    <m/>
    <n v="45"/>
    <n v="0"/>
    <n v="2"/>
    <n v="14.1"/>
    <n v="15.43125"/>
    <n v="0"/>
    <x v="0"/>
    <n v="100"/>
    <s v="33030010"/>
    <n v="13057"/>
    <n v="5"/>
    <n v="225"/>
    <x v="3"/>
  </r>
  <r>
    <x v="27"/>
    <x v="22"/>
    <x v="22"/>
    <m/>
    <m/>
    <m/>
    <m/>
    <n v="25"/>
    <n v="0"/>
    <n v="2"/>
    <n v="7.833333333333333"/>
    <n v="8.5729166666666679"/>
    <n v="0"/>
    <x v="0"/>
    <n v="100"/>
    <s v="33030010"/>
    <n v="12936"/>
    <n v="5"/>
    <n v="125"/>
    <x v="3"/>
  </r>
  <r>
    <x v="27"/>
    <x v="1"/>
    <x v="1"/>
    <m/>
    <m/>
    <m/>
    <m/>
    <n v="45"/>
    <n v="0"/>
    <n v="2"/>
    <n v="14.1"/>
    <n v="15.43125"/>
    <n v="0"/>
    <x v="0"/>
    <n v="100"/>
    <s v="33030010"/>
    <n v="12592"/>
    <n v="5"/>
    <n v="225"/>
    <x v="3"/>
  </r>
  <r>
    <x v="27"/>
    <x v="23"/>
    <x v="23"/>
    <m/>
    <m/>
    <m/>
    <m/>
    <n v="25"/>
    <n v="0"/>
    <n v="2"/>
    <n v="7.833333333333333"/>
    <n v="8.5729166666666679"/>
    <n v="0"/>
    <x v="0"/>
    <n v="100"/>
    <s v="33030010"/>
    <n v="9822"/>
    <n v="5"/>
    <n v="125"/>
    <x v="3"/>
  </r>
  <r>
    <x v="27"/>
    <x v="5"/>
    <x v="5"/>
    <m/>
    <m/>
    <m/>
    <m/>
    <n v="25"/>
    <n v="0"/>
    <n v="2"/>
    <n v="7.1562500000000009"/>
    <n v="7.875"/>
    <n v="0"/>
    <x v="0"/>
    <n v="100"/>
    <s v="33030010"/>
    <n v="9142"/>
    <n v="5"/>
    <n v="125"/>
    <x v="3"/>
  </r>
  <r>
    <x v="27"/>
    <x v="6"/>
    <x v="6"/>
    <m/>
    <m/>
    <m/>
    <m/>
    <n v="45"/>
    <n v="0"/>
    <n v="2"/>
    <n v="12.88125"/>
    <n v="14.174999999999999"/>
    <n v="0"/>
    <x v="0"/>
    <n v="100"/>
    <s v="33030010"/>
    <n v="8908"/>
    <n v="5"/>
    <n v="225"/>
    <x v="3"/>
  </r>
  <r>
    <x v="27"/>
    <x v="30"/>
    <x v="30"/>
    <m/>
    <m/>
    <m/>
    <m/>
    <n v="25"/>
    <n v="0"/>
    <n v="2"/>
    <n v="7.1562500000000009"/>
    <n v="7.875"/>
    <n v="0"/>
    <x v="0"/>
    <n v="100"/>
    <s v="33030010"/>
    <n v="6410"/>
    <n v="5"/>
    <n v="125"/>
    <x v="3"/>
  </r>
  <r>
    <x v="27"/>
    <x v="31"/>
    <x v="31"/>
    <m/>
    <m/>
    <m/>
    <m/>
    <n v="45"/>
    <n v="0"/>
    <n v="2"/>
    <n v="12.88125"/>
    <n v="14.174999999999999"/>
    <n v="0"/>
    <x v="0"/>
    <n v="100"/>
    <s v="33030010"/>
    <n v="6478"/>
    <n v="5"/>
    <n v="225"/>
    <x v="3"/>
  </r>
  <r>
    <x v="27"/>
    <x v="37"/>
    <x v="37"/>
    <m/>
    <m/>
    <m/>
    <m/>
    <n v="6"/>
    <n v="0"/>
    <n v="1"/>
    <n v="2.9249999999999998"/>
    <n v="3.3"/>
    <n v="0"/>
    <x v="3"/>
    <n v="100"/>
    <n v="0"/>
    <n v="100"/>
    <n v="0"/>
    <n v="0"/>
    <x v="3"/>
  </r>
  <r>
    <x v="27"/>
    <x v="38"/>
    <x v="38"/>
    <m/>
    <m/>
    <m/>
    <m/>
    <n v="6"/>
    <n v="0"/>
    <n v="1"/>
    <n v="2.9249999999999998"/>
    <n v="3.3"/>
    <n v="0"/>
    <x v="3"/>
    <n v="100"/>
    <n v="0"/>
    <n v="250"/>
    <n v="0"/>
    <n v="0"/>
    <x v="3"/>
  </r>
  <r>
    <x v="27"/>
    <x v="39"/>
    <x v="39"/>
    <m/>
    <m/>
    <m/>
    <m/>
    <n v="6"/>
    <n v="0"/>
    <n v="1"/>
    <n v="2.9249999999999998"/>
    <n v="3.3"/>
    <n v="0"/>
    <x v="3"/>
    <n v="100"/>
    <n v="0"/>
    <n v="60"/>
    <n v="0"/>
    <n v="0"/>
    <x v="3"/>
  </r>
  <r>
    <x v="27"/>
    <x v="40"/>
    <x v="40"/>
    <m/>
    <m/>
    <m/>
    <m/>
    <n v="6"/>
    <n v="0"/>
    <n v="1"/>
    <n v="2.9249999999999998"/>
    <n v="3.3"/>
    <n v="0"/>
    <x v="3"/>
    <n v="100"/>
    <n v="0"/>
    <n v="250"/>
    <n v="0"/>
    <n v="0"/>
    <x v="3"/>
  </r>
  <r>
    <x v="27"/>
    <x v="24"/>
    <x v="24"/>
    <m/>
    <m/>
    <m/>
    <m/>
    <n v="6"/>
    <n v="0"/>
    <n v="1"/>
    <n v="2.52"/>
    <n v="2.895"/>
    <n v="0"/>
    <x v="3"/>
    <n v="50"/>
    <n v="0"/>
    <n v="398"/>
    <n v="5.23"/>
    <n v="31.380000000000003"/>
    <x v="3"/>
  </r>
  <r>
    <x v="27"/>
    <x v="25"/>
    <x v="25"/>
    <m/>
    <m/>
    <m/>
    <m/>
    <n v="6"/>
    <n v="0"/>
    <n v="1"/>
    <n v="2.52"/>
    <n v="2.895"/>
    <n v="0"/>
    <x v="3"/>
    <n v="50"/>
    <n v="0"/>
    <n v="243"/>
    <n v="5.23"/>
    <n v="31.380000000000003"/>
    <x v="3"/>
  </r>
  <r>
    <x v="27"/>
    <x v="26"/>
    <x v="26"/>
    <m/>
    <m/>
    <m/>
    <m/>
    <n v="6"/>
    <n v="0"/>
    <n v="1"/>
    <n v="2.52"/>
    <n v="2.895"/>
    <n v="0"/>
    <x v="3"/>
    <n v="50"/>
    <n v="0"/>
    <n v="437"/>
    <n v="5.23"/>
    <n v="31.380000000000003"/>
    <x v="3"/>
  </r>
  <r>
    <x v="27"/>
    <x v="27"/>
    <x v="27"/>
    <m/>
    <m/>
    <m/>
    <m/>
    <n v="6"/>
    <n v="0"/>
    <n v="1"/>
    <n v="2.52"/>
    <n v="2.895"/>
    <n v="0"/>
    <x v="3"/>
    <n v="50"/>
    <n v="0"/>
    <n v="437"/>
    <n v="5.23"/>
    <n v="31.380000000000003"/>
    <x v="3"/>
  </r>
  <r>
    <x v="27"/>
    <x v="28"/>
    <x v="28"/>
    <m/>
    <m/>
    <m/>
    <m/>
    <n v="6"/>
    <n v="0"/>
    <n v="1"/>
    <n v="2.39"/>
    <n v="2.625"/>
    <n v="0"/>
    <x v="3"/>
    <n v="50"/>
    <n v="0"/>
    <n v="471"/>
    <n v="5.23"/>
    <n v="31.380000000000003"/>
    <x v="3"/>
  </r>
  <r>
    <x v="27"/>
    <x v="29"/>
    <x v="29"/>
    <m/>
    <m/>
    <m/>
    <m/>
    <n v="6"/>
    <n v="0"/>
    <n v="1"/>
    <n v="2.39"/>
    <n v="2.625"/>
    <n v="0"/>
    <x v="3"/>
    <n v="50"/>
    <n v="0"/>
    <n v="303"/>
    <n v="5.23"/>
    <n v="31.380000000000003"/>
    <x v="3"/>
  </r>
  <r>
    <x v="27"/>
    <x v="32"/>
    <x v="32"/>
    <m/>
    <m/>
    <m/>
    <m/>
    <n v="6"/>
    <n v="0"/>
    <n v="1"/>
    <n v="2.39"/>
    <n v="2.625"/>
    <n v="0"/>
    <x v="3"/>
    <n v="50"/>
    <n v="0"/>
    <n v="497"/>
    <n v="5.23"/>
    <n v="31.380000000000003"/>
    <x v="3"/>
  </r>
  <r>
    <x v="27"/>
    <x v="33"/>
    <x v="33"/>
    <m/>
    <m/>
    <m/>
    <m/>
    <n v="6"/>
    <n v="0"/>
    <n v="1"/>
    <n v="2.39"/>
    <n v="2.625"/>
    <n v="0"/>
    <x v="3"/>
    <n v="50"/>
    <n v="0"/>
    <n v="520"/>
    <n v="5.23"/>
    <n v="31.380000000000003"/>
    <x v="3"/>
  </r>
  <r>
    <x v="27"/>
    <x v="41"/>
    <x v="41"/>
    <m/>
    <m/>
    <m/>
    <m/>
    <n v="6"/>
    <n v="0"/>
    <n v="1"/>
    <n v="2.625"/>
    <n v="3"/>
    <n v="0"/>
    <x v="3"/>
    <n v="100"/>
    <n v="0"/>
    <n v="40"/>
    <n v="0"/>
    <n v="0"/>
    <x v="3"/>
  </r>
  <r>
    <x v="27"/>
    <x v="67"/>
    <x v="67"/>
    <m/>
    <m/>
    <m/>
    <m/>
    <n v="6"/>
    <n v="0"/>
    <n v="1"/>
    <n v="2.625"/>
    <n v="3"/>
    <n v="0"/>
    <x v="3"/>
    <n v="100"/>
    <n v="0"/>
    <n v="0"/>
    <n v="0"/>
    <n v="0"/>
    <x v="3"/>
  </r>
  <r>
    <x v="27"/>
    <x v="68"/>
    <x v="68"/>
    <m/>
    <m/>
    <m/>
    <m/>
    <n v="6"/>
    <n v="0"/>
    <n v="1"/>
    <n v="2.625"/>
    <n v="3"/>
    <n v="0"/>
    <x v="3"/>
    <n v="100"/>
    <n v="0"/>
    <n v="0"/>
    <n v="0"/>
    <n v="0"/>
    <x v="3"/>
  </r>
  <r>
    <x v="27"/>
    <x v="69"/>
    <x v="69"/>
    <m/>
    <m/>
    <m/>
    <m/>
    <n v="6"/>
    <n v="0"/>
    <n v="1"/>
    <n v="2.625"/>
    <n v="3"/>
    <n v="0"/>
    <x v="3"/>
    <n v="100"/>
    <n v="0"/>
    <n v="0"/>
    <n v="0"/>
    <n v="0"/>
    <x v="3"/>
  </r>
  <r>
    <x v="27"/>
    <x v="9"/>
    <x v="9"/>
    <m/>
    <m/>
    <m/>
    <m/>
    <n v="31"/>
    <n v="0"/>
    <n v="2"/>
    <n v="8.2020833333333325"/>
    <n v="9.0416666666666679"/>
    <n v="0"/>
    <x v="2"/>
    <n v="200"/>
    <s v="33030090"/>
    <n v="2970"/>
    <n v="2.0499999999999998"/>
    <n v="63.55"/>
    <x v="3"/>
  </r>
  <r>
    <x v="27"/>
    <x v="35"/>
    <x v="35"/>
    <m/>
    <m/>
    <m/>
    <m/>
    <n v="31"/>
    <n v="0"/>
    <n v="2"/>
    <n v="8.2020833333333325"/>
    <n v="9.0416666666666679"/>
    <n v="0"/>
    <x v="2"/>
    <n v="200"/>
    <s v="33030090"/>
    <n v="666"/>
    <n v="2.0499999999999998"/>
    <n v="63.55"/>
    <x v="3"/>
  </r>
  <r>
    <x v="27"/>
    <x v="10"/>
    <x v="10"/>
    <m/>
    <m/>
    <m/>
    <m/>
    <n v="31"/>
    <n v="0"/>
    <n v="2"/>
    <n v="8.2020833333333325"/>
    <n v="9.0416666666666679"/>
    <n v="0"/>
    <x v="2"/>
    <n v="200"/>
    <s v="33030090"/>
    <n v="422"/>
    <n v="2.0499999999999998"/>
    <n v="63.55"/>
    <x v="3"/>
  </r>
  <r>
    <x v="27"/>
    <x v="36"/>
    <x v="36"/>
    <m/>
    <m/>
    <m/>
    <m/>
    <n v="31"/>
    <n v="0"/>
    <n v="2"/>
    <n v="8.2020833333333325"/>
    <n v="9.0416666666666679"/>
    <n v="0"/>
    <x v="2"/>
    <n v="200"/>
    <s v="33030090"/>
    <n v="618"/>
    <n v="2.0499999999999998"/>
    <n v="63.55"/>
    <x v="3"/>
  </r>
  <r>
    <x v="28"/>
    <x v="46"/>
    <x v="46"/>
    <n v="4512"/>
    <m/>
    <m/>
    <m/>
    <m/>
    <n v="94"/>
    <n v="0"/>
    <n v="703.12"/>
    <n v="723.80000000000007"/>
    <n v="3.200418"/>
    <x v="5"/>
    <n v="175"/>
    <s v="33072000"/>
    <n v="9572"/>
    <n v="1.1599999999999999"/>
    <n v="5233.92"/>
    <x v="2"/>
  </r>
  <r>
    <x v="28"/>
    <x v="47"/>
    <x v="47"/>
    <n v="4656"/>
    <m/>
    <m/>
    <m/>
    <m/>
    <n v="97"/>
    <n v="0"/>
    <n v="725.56000000000006"/>
    <n v="746.9"/>
    <n v="3.302559"/>
    <x v="5"/>
    <n v="175"/>
    <s v="33072000"/>
    <n v="9823"/>
    <n v="1.1599999999999999"/>
    <n v="5400.96"/>
    <x v="2"/>
  </r>
  <r>
    <x v="28"/>
    <x v="48"/>
    <x v="48"/>
    <n v="5088"/>
    <m/>
    <m/>
    <m/>
    <m/>
    <n v="106"/>
    <n v="0"/>
    <n v="792.88"/>
    <n v="816.2"/>
    <n v="3.6089820000000001"/>
    <x v="5"/>
    <n v="175"/>
    <s v="33072000"/>
    <n v="9828"/>
    <n v="1.1599999999999999"/>
    <n v="5902.08"/>
    <x v="2"/>
  </r>
  <r>
    <x v="28"/>
    <x v="49"/>
    <x v="49"/>
    <n v="3504"/>
    <m/>
    <m/>
    <m/>
    <m/>
    <n v="73"/>
    <n v="0"/>
    <n v="546.04000000000008"/>
    <n v="562.1"/>
    <n v="2.4854310000000002"/>
    <x v="5"/>
    <n v="175"/>
    <s v="33072000"/>
    <n v="9401"/>
    <n v="1.1599999999999999"/>
    <n v="4064.64"/>
    <x v="2"/>
  </r>
  <r>
    <x v="28"/>
    <x v="70"/>
    <x v="70"/>
    <n v="3840"/>
    <m/>
    <m/>
    <m/>
    <m/>
    <n v="80"/>
    <n v="0"/>
    <n v="503.04"/>
    <n v="562.88"/>
    <n v="2.0992000000000002"/>
    <x v="5"/>
    <n v="150"/>
    <n v="33072000"/>
    <n v="19498"/>
    <n v="0.81599999999999995"/>
    <n v="3133.4399999999996"/>
    <x v="2"/>
  </r>
  <r>
    <x v="29"/>
    <x v="11"/>
    <x v="11"/>
    <n v="600"/>
    <n v="12.5"/>
    <m/>
    <m/>
    <n v="50"/>
    <n v="25"/>
    <n v="3"/>
    <n v="256.75"/>
    <n v="268.125"/>
    <n v="0.43243749999999997"/>
    <x v="1"/>
    <n v="100"/>
    <s v="33030010"/>
    <n v="11.68"/>
    <n v="7592"/>
    <n v="7500"/>
    <x v="1"/>
  </r>
  <r>
    <x v="29"/>
    <x v="12"/>
    <x v="12"/>
    <m/>
    <m/>
    <n v="24"/>
    <n v="6.25"/>
    <m/>
    <n v="1"/>
    <n v="0"/>
    <n v="9.48"/>
    <n v="9.9"/>
    <n v="1.72975E-2"/>
    <x v="1"/>
    <n v="100"/>
    <s v="33030010"/>
    <n v="11.68"/>
    <n v="280.32"/>
    <n v="150"/>
    <x v="1"/>
  </r>
  <r>
    <x v="29"/>
    <x v="13"/>
    <x v="13"/>
    <n v="120"/>
    <n v="12.5"/>
    <n v="24"/>
    <n v="6.25"/>
    <n v="10"/>
    <n v="6"/>
    <n v="1"/>
    <n v="60.830000000000005"/>
    <n v="63.525000000000006"/>
    <n v="0.103785"/>
    <x v="1"/>
    <n v="100"/>
    <s v="33030010"/>
    <n v="11.68"/>
    <n v="1798.72"/>
    <n v="1650"/>
    <x v="1"/>
  </r>
  <r>
    <x v="29"/>
    <x v="14"/>
    <x v="14"/>
    <n v="300"/>
    <n v="12.5"/>
    <n v="24"/>
    <n v="6.25"/>
    <n v="25"/>
    <n v="14"/>
    <n v="2"/>
    <n v="137.85499999999999"/>
    <n v="143.96250000000001"/>
    <n v="0.23351625000000001"/>
    <x v="1"/>
    <n v="100"/>
    <s v="33030010"/>
    <n v="11.68"/>
    <n v="4076.3199999999997"/>
    <n v="3900"/>
    <x v="1"/>
  </r>
  <r>
    <x v="29"/>
    <x v="17"/>
    <x v="17"/>
    <n v="24"/>
    <n v="12.5"/>
    <n v="12"/>
    <n v="6.25"/>
    <n v="2"/>
    <n v="2"/>
    <n v="1"/>
    <n v="14.439999999999998"/>
    <n v="15.041666666666666"/>
    <n v="2.6296875000000001E-2"/>
    <x v="1"/>
    <n v="100"/>
    <s v="33030010"/>
    <n v="11.68"/>
    <n v="443.84"/>
    <n v="375"/>
    <x v="1"/>
  </r>
  <r>
    <x v="29"/>
    <x v="18"/>
    <x v="18"/>
    <n v="72"/>
    <n v="12.5"/>
    <m/>
    <m/>
    <n v="6"/>
    <n v="3"/>
    <n v="1"/>
    <n v="29.639999999999997"/>
    <n v="30.875"/>
    <n v="5.2593750000000002E-2"/>
    <x v="1"/>
    <n v="100"/>
    <s v="33030010"/>
    <n v="11.68"/>
    <n v="911.04"/>
    <n v="900"/>
    <x v="1"/>
  </r>
  <r>
    <x v="30"/>
    <x v="0"/>
    <x v="0"/>
    <n v="720"/>
    <n v="5.79"/>
    <n v="246"/>
    <n v="0.57999999999999996"/>
    <m/>
    <n v="41"/>
    <n v="0"/>
    <n v="302.68"/>
    <n v="331.25749999999999"/>
    <n v="0.90345149999999996"/>
    <x v="0"/>
    <n v="100"/>
    <s v="33030010"/>
    <n v="5"/>
    <n v="4830"/>
    <n v="4311.4800000000005"/>
    <x v="1"/>
  </r>
  <r>
    <x v="30"/>
    <x v="22"/>
    <x v="22"/>
    <n v="1200"/>
    <n v="5.79"/>
    <n v="246"/>
    <n v="0.57999999999999996"/>
    <m/>
    <n v="61"/>
    <n v="0"/>
    <n v="453.08"/>
    <n v="495.85750000000002"/>
    <n v="1.3523715000000001"/>
    <x v="0"/>
    <n v="100"/>
    <s v="33030010"/>
    <n v="5"/>
    <n v="7230"/>
    <n v="7090.68"/>
    <x v="1"/>
  </r>
  <r>
    <x v="30"/>
    <x v="1"/>
    <x v="1"/>
    <n v="720"/>
    <n v="5.79"/>
    <n v="240"/>
    <n v="0.57999999999999996"/>
    <m/>
    <n v="40"/>
    <n v="0"/>
    <n v="300.79999999999995"/>
    <n v="329.20000000000005"/>
    <n v="0.89783999999999997"/>
    <x v="0"/>
    <n v="100"/>
    <s v="33030010"/>
    <n v="5"/>
    <n v="4800"/>
    <n v="4308"/>
    <x v="1"/>
  </r>
  <r>
    <x v="30"/>
    <x v="23"/>
    <x v="23"/>
    <n v="1200"/>
    <n v="5.79"/>
    <n v="240"/>
    <n v="0.57999999999999996"/>
    <m/>
    <n v="60"/>
    <n v="0"/>
    <n v="451.2"/>
    <n v="493.8"/>
    <n v="1.34676"/>
    <x v="0"/>
    <n v="100"/>
    <s v="33030010"/>
    <n v="5"/>
    <n v="7200"/>
    <n v="7087.2"/>
    <x v="1"/>
  </r>
  <r>
    <x v="30"/>
    <x v="5"/>
    <x v="5"/>
    <n v="600"/>
    <n v="5.79"/>
    <n v="180"/>
    <n v="0.57999999999999996"/>
    <m/>
    <n v="33"/>
    <n v="0"/>
    <n v="223.27500000000001"/>
    <n v="245.7"/>
    <n v="0.81753750000000003"/>
    <x v="0"/>
    <n v="100"/>
    <s v="33030010"/>
    <n v="5"/>
    <n v="3900"/>
    <n v="3578.4"/>
    <x v="1"/>
  </r>
  <r>
    <x v="30"/>
    <x v="6"/>
    <x v="6"/>
    <n v="720"/>
    <n v="5.79"/>
    <n v="180"/>
    <n v="0.57999999999999996"/>
    <m/>
    <n v="38"/>
    <n v="0"/>
    <n v="257.625"/>
    <n v="283.5"/>
    <n v="0.9433125"/>
    <x v="0"/>
    <n v="100"/>
    <s v="33030010"/>
    <n v="5"/>
    <n v="4500"/>
    <n v="4273.2"/>
    <x v="1"/>
  </r>
  <r>
    <x v="30"/>
    <x v="30"/>
    <x v="30"/>
    <n v="600"/>
    <n v="5.79"/>
    <n v="180"/>
    <n v="0.57999999999999996"/>
    <m/>
    <n v="33"/>
    <n v="0"/>
    <n v="223.27500000000001"/>
    <n v="245.7"/>
    <n v="0.81753750000000003"/>
    <x v="0"/>
    <n v="100"/>
    <s v="33030010"/>
    <n v="5"/>
    <n v="3900"/>
    <n v="3578.4"/>
    <x v="1"/>
  </r>
  <r>
    <x v="30"/>
    <x v="31"/>
    <x v="31"/>
    <n v="720"/>
    <n v="5.79"/>
    <n v="180"/>
    <n v="0.57999999999999996"/>
    <m/>
    <n v="38"/>
    <n v="0"/>
    <n v="257.625"/>
    <n v="283.5"/>
    <n v="0.9433125"/>
    <x v="0"/>
    <n v="100"/>
    <s v="33030010"/>
    <n v="5"/>
    <n v="4500"/>
    <n v="4273.2"/>
    <x v="1"/>
  </r>
  <r>
    <x v="30"/>
    <x v="24"/>
    <x v="24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5"/>
    <x v="25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6"/>
    <x v="26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7"/>
    <x v="27"/>
    <n v="1440"/>
    <n v="5.79"/>
    <m/>
    <m/>
    <m/>
    <n v="120"/>
    <n v="0"/>
    <n v="604.79999999999995"/>
    <n v="694.8"/>
    <n v="3.3699599999999998"/>
    <x v="3"/>
    <n v="50"/>
    <n v="0"/>
    <n v="5.23"/>
    <n v="7531.2000000000007"/>
    <n v="8337.6"/>
    <x v="1"/>
  </r>
  <r>
    <x v="30"/>
    <x v="28"/>
    <x v="28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0"/>
    <x v="29"/>
    <x v="29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0"/>
    <x v="32"/>
    <x v="32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0"/>
    <x v="33"/>
    <x v="33"/>
    <n v="1200"/>
    <n v="5.79"/>
    <m/>
    <m/>
    <m/>
    <n v="100"/>
    <n v="0"/>
    <n v="478"/>
    <n v="525"/>
    <n v="2.8083"/>
    <x v="3"/>
    <n v="50"/>
    <n v="0"/>
    <n v="5.23"/>
    <n v="6276.0000000000009"/>
    <n v="6948"/>
    <x v="1"/>
  </r>
  <r>
    <x v="31"/>
    <x v="9"/>
    <x v="9"/>
    <n v="6720"/>
    <m/>
    <m/>
    <m/>
    <m/>
    <n v="280"/>
    <n v="0"/>
    <n v="1778"/>
    <n v="1960"/>
    <n v="4.4629200000000004"/>
    <x v="2"/>
    <n v="200"/>
    <s v="33030090"/>
    <n v="2970"/>
    <n v="2.0499999999999998"/>
    <n v="13775.999999999998"/>
    <x v="2"/>
  </r>
  <r>
    <x v="31"/>
    <x v="35"/>
    <x v="35"/>
    <n v="6720"/>
    <m/>
    <m/>
    <m/>
    <m/>
    <n v="280"/>
    <n v="0"/>
    <n v="1778"/>
    <n v="1960"/>
    <n v="4.4629200000000004"/>
    <x v="2"/>
    <n v="200"/>
    <s v="33030090"/>
    <n v="666"/>
    <n v="2.0499999999999998"/>
    <n v="13775.999999999998"/>
    <x v="2"/>
  </r>
  <r>
    <x v="31"/>
    <x v="10"/>
    <x v="10"/>
    <n v="6720"/>
    <m/>
    <m/>
    <m/>
    <m/>
    <n v="280"/>
    <n v="0"/>
    <n v="1778"/>
    <n v="1960"/>
    <n v="4.4629200000000004"/>
    <x v="2"/>
    <n v="200"/>
    <s v="33030090"/>
    <n v="422"/>
    <n v="2.0499999999999998"/>
    <n v="13775.999999999998"/>
    <x v="2"/>
  </r>
  <r>
    <x v="31"/>
    <x v="36"/>
    <x v="36"/>
    <n v="6720"/>
    <m/>
    <m/>
    <m/>
    <m/>
    <n v="280"/>
    <n v="0"/>
    <n v="1778"/>
    <n v="1960"/>
    <n v="4.4629200000000004"/>
    <x v="2"/>
    <n v="200"/>
    <s v="33030090"/>
    <n v="618"/>
    <n v="2.0499999999999998"/>
    <n v="13775.999999999998"/>
    <x v="2"/>
  </r>
  <r>
    <x v="32"/>
    <x v="0"/>
    <x v="0"/>
    <n v="700"/>
    <n v="4.5"/>
    <m/>
    <m/>
    <m/>
    <n v="30"/>
    <n v="0"/>
    <n v="219.33333333333334"/>
    <n v="240.04166666666669"/>
    <n v="0.65467500000000012"/>
    <x v="0"/>
    <n v="100"/>
    <s v="33030010"/>
    <n v="5"/>
    <n v="3500"/>
    <n v="3150"/>
    <x v="1"/>
  </r>
  <r>
    <x v="32"/>
    <x v="22"/>
    <x v="22"/>
    <n v="750"/>
    <n v="4.5"/>
    <m/>
    <m/>
    <m/>
    <n v="32"/>
    <n v="0"/>
    <n v="235"/>
    <n v="257.1875"/>
    <n v="0.70143750000000005"/>
    <x v="0"/>
    <n v="100"/>
    <s v="33030010"/>
    <n v="5"/>
    <n v="3750"/>
    <n v="3375"/>
    <x v="1"/>
  </r>
  <r>
    <x v="32"/>
    <x v="23"/>
    <x v="23"/>
    <n v="300"/>
    <n v="4.5"/>
    <m/>
    <m/>
    <m/>
    <n v="13"/>
    <n v="0"/>
    <n v="94"/>
    <n v="102.875"/>
    <n v="0.28057500000000002"/>
    <x v="0"/>
    <n v="100"/>
    <s v="33030010"/>
    <n v="5"/>
    <n v="1500"/>
    <n v="1350"/>
    <x v="1"/>
  </r>
  <r>
    <x v="33"/>
    <x v="7"/>
    <x v="7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  <r>
    <x v="33"/>
    <x v="8"/>
    <x v="8"/>
    <n v="750"/>
    <n v="13.5"/>
    <m/>
    <m/>
    <m/>
    <n v="32"/>
    <n v="0"/>
    <n v="296.25"/>
    <n v="309.375"/>
    <n v="0.54054687499999998"/>
    <x v="1"/>
    <n v="100"/>
    <s v="33030010"/>
    <n v="11.68"/>
    <n v="8760"/>
    <n v="1012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la_pivot2" cacheId="6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EQ9:ES38" firstHeaderRow="1" firstDataRow="1" firstDataCol="2" rowPageCount="2" colPageCount="1"/>
  <pivotFields count="21">
    <pivotField numFmtId="1" showAll="0"/>
    <pivotField axis="axisRow" outline="0" showAll="0" defaultSubtotal="0">
      <items count="71">
        <item x="37"/>
        <item x="38"/>
        <item x="39"/>
        <item x="40"/>
        <item x="24"/>
        <item x="25"/>
        <item x="26"/>
        <item x="27"/>
        <item x="28"/>
        <item x="29"/>
        <item x="32"/>
        <item x="33"/>
        <item x="41"/>
        <item x="67"/>
        <item x="68"/>
        <item x="69"/>
        <item x="34"/>
        <item x="43"/>
        <item x="19"/>
        <item x="46"/>
        <item x="47"/>
        <item x="48"/>
        <item x="49"/>
        <item x="0"/>
        <item x="22"/>
        <item x="1"/>
        <item x="23"/>
        <item x="2"/>
        <item x="54"/>
        <item x="3"/>
        <item x="55"/>
        <item x="70"/>
        <item x="42"/>
        <item x="56"/>
        <item x="4"/>
        <item x="57"/>
        <item x="58"/>
        <item x="5"/>
        <item x="6"/>
        <item x="30"/>
        <item x="31"/>
        <item x="11"/>
        <item x="12"/>
        <item x="13"/>
        <item x="14"/>
        <item x="15"/>
        <item x="16"/>
        <item x="17"/>
        <item x="18"/>
        <item x="60"/>
        <item x="61"/>
        <item x="62"/>
        <item x="63"/>
        <item x="59"/>
        <item x="64"/>
        <item x="65"/>
        <item x="66"/>
        <item x="7"/>
        <item x="8"/>
        <item x="50"/>
        <item x="51"/>
        <item x="52"/>
        <item x="53"/>
        <item x="9"/>
        <item x="35"/>
        <item x="10"/>
        <item x="36"/>
        <item x="20"/>
        <item x="21"/>
        <item x="44"/>
        <item x="45"/>
      </items>
    </pivotField>
    <pivotField axis="axisRow" showAll="0">
      <items count="72">
        <item x="61"/>
        <item x="60"/>
        <item x="34"/>
        <item x="37"/>
        <item x="24"/>
        <item x="40"/>
        <item x="27"/>
        <item x="39"/>
        <item x="26"/>
        <item x="38"/>
        <item x="25"/>
        <item x="43"/>
        <item x="41"/>
        <item x="28"/>
        <item x="69"/>
        <item x="33"/>
        <item x="68"/>
        <item x="32"/>
        <item x="67"/>
        <item x="29"/>
        <item x="19"/>
        <item x="64"/>
        <item x="50"/>
        <item x="53"/>
        <item x="52"/>
        <item x="51"/>
        <item x="62"/>
        <item x="63"/>
        <item x="16"/>
        <item x="15"/>
        <item x="12"/>
        <item x="7"/>
        <item x="17"/>
        <item x="18"/>
        <item x="8"/>
        <item x="14"/>
        <item x="13"/>
        <item x="11"/>
        <item x="46"/>
        <item x="0"/>
        <item x="2"/>
        <item x="49"/>
        <item x="23"/>
        <item x="55"/>
        <item x="48"/>
        <item x="1"/>
        <item x="3"/>
        <item x="47"/>
        <item x="22"/>
        <item x="54"/>
        <item x="20"/>
        <item x="21"/>
        <item x="66"/>
        <item x="65"/>
        <item x="59"/>
        <item x="70"/>
        <item x="5"/>
        <item x="56"/>
        <item x="31"/>
        <item x="58"/>
        <item x="42"/>
        <item x="30"/>
        <item x="57"/>
        <item x="6"/>
        <item x="4"/>
        <item x="9"/>
        <item x="35"/>
        <item x="10"/>
        <item x="36"/>
        <item x="44"/>
        <item x="45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6"/>
        <item x="2"/>
        <item x="5"/>
        <item x="3"/>
        <item x="0"/>
        <item x="1"/>
        <item x="7"/>
        <item x="4"/>
        <item t="default"/>
      </items>
    </pivotField>
    <pivotField numFmtId="1" showAll="0"/>
    <pivotField showAll="0"/>
    <pivotField showAll="0"/>
    <pivotField showAll="0"/>
    <pivotField showAll="0"/>
    <pivotField axis="axisPage" multipleItemSelectionAllowed="1" showAll="0">
      <items count="5">
        <item h="1" x="0"/>
        <item h="1" x="1"/>
        <item h="1" x="3"/>
        <item x="2"/>
        <item t="default"/>
      </items>
    </pivotField>
    <pivotField dragToRow="0" dragToCol="0" dragToPage="0" showAll="0" defaultSubtotal="0"/>
  </pivotFields>
  <rowFields count="2">
    <field x="1"/>
    <field x="2"/>
  </rowFields>
  <rowItems count="29">
    <i>
      <x v="19"/>
      <x v="38"/>
    </i>
    <i>
      <x v="20"/>
      <x v="47"/>
    </i>
    <i>
      <x v="21"/>
      <x v="44"/>
    </i>
    <i>
      <x v="22"/>
      <x v="41"/>
    </i>
    <i>
      <x v="28"/>
      <x v="49"/>
    </i>
    <i>
      <x v="30"/>
      <x v="43"/>
    </i>
    <i>
      <x v="31"/>
      <x v="55"/>
    </i>
    <i>
      <x v="33"/>
      <x v="57"/>
    </i>
    <i>
      <x v="34"/>
      <x v="64"/>
    </i>
    <i>
      <x v="35"/>
      <x v="62"/>
    </i>
    <i>
      <x v="36"/>
      <x v="59"/>
    </i>
    <i>
      <x v="41"/>
      <x v="37"/>
    </i>
    <i>
      <x v="43"/>
      <x v="36"/>
    </i>
    <i>
      <x v="49"/>
      <x v="1"/>
    </i>
    <i>
      <x v="50"/>
      <x/>
    </i>
    <i>
      <x v="51"/>
      <x v="26"/>
    </i>
    <i>
      <x v="52"/>
      <x v="27"/>
    </i>
    <i>
      <x v="53"/>
      <x v="54"/>
    </i>
    <i>
      <x v="54"/>
      <x v="21"/>
    </i>
    <i>
      <x v="55"/>
      <x v="53"/>
    </i>
    <i>
      <x v="56"/>
      <x v="52"/>
    </i>
    <i>
      <x v="57"/>
      <x v="31"/>
    </i>
    <i>
      <x v="58"/>
      <x v="34"/>
    </i>
    <i>
      <x v="63"/>
      <x v="65"/>
    </i>
    <i>
      <x v="64"/>
      <x v="66"/>
    </i>
    <i>
      <x v="65"/>
      <x v="67"/>
    </i>
    <i>
      <x v="66"/>
      <x v="68"/>
    </i>
    <i>
      <x v="67"/>
      <x v="50"/>
    </i>
    <i>
      <x v="68"/>
      <x v="51"/>
    </i>
  </rowItems>
  <colItems count="1">
    <i/>
  </colItems>
  <pageFields count="2">
    <pageField fld="19" hier="-1"/>
    <pageField fld="13" hier="-1"/>
  </pageFields>
  <dataFields count="1">
    <dataField name="Somma di qty" fld="3" baseField="0" baseItem="0"/>
  </dataFields>
  <pivotTableStyleInfo name="PivotStyleMedium9" showRowHeaders="1" showColHeaders="1" showRowStripes="1" showColStripes="1" showLastColumn="1"/>
</pivotTableDefinition>
</file>

<file path=xl/pivotTables/pivotTable2.xml><?xml version="1.0" encoding="utf-8"?>
<pivotTableDefinition xmlns="http://schemas.openxmlformats.org/spreadsheetml/2006/main" name="Tabella_pivot1" cacheId="6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EM9:EO61" firstHeaderRow="1" firstDataRow="1" firstDataCol="2" rowPageCount="2" colPageCount="1"/>
  <pivotFields count="21">
    <pivotField numFmtId="1" showAll="0"/>
    <pivotField axis="axisRow" outline="0" showAll="0" defaultSubtotal="0">
      <items count="71">
        <item x="37"/>
        <item x="38"/>
        <item x="39"/>
        <item x="40"/>
        <item x="24"/>
        <item x="25"/>
        <item x="26"/>
        <item x="27"/>
        <item x="28"/>
        <item x="29"/>
        <item x="32"/>
        <item x="33"/>
        <item x="41"/>
        <item x="67"/>
        <item x="68"/>
        <item x="69"/>
        <item x="34"/>
        <item x="43"/>
        <item x="19"/>
        <item x="46"/>
        <item x="47"/>
        <item x="48"/>
        <item x="49"/>
        <item x="0"/>
        <item x="22"/>
        <item x="1"/>
        <item x="23"/>
        <item x="2"/>
        <item x="54"/>
        <item x="3"/>
        <item x="55"/>
        <item x="70"/>
        <item x="42"/>
        <item x="56"/>
        <item x="4"/>
        <item x="57"/>
        <item x="58"/>
        <item x="5"/>
        <item x="6"/>
        <item x="30"/>
        <item x="31"/>
        <item x="11"/>
        <item x="12"/>
        <item x="13"/>
        <item x="14"/>
        <item x="15"/>
        <item x="16"/>
        <item x="17"/>
        <item x="18"/>
        <item x="60"/>
        <item x="61"/>
        <item x="62"/>
        <item x="63"/>
        <item x="59"/>
        <item x="64"/>
        <item x="65"/>
        <item x="66"/>
        <item x="7"/>
        <item x="8"/>
        <item x="50"/>
        <item x="51"/>
        <item x="52"/>
        <item x="53"/>
        <item x="9"/>
        <item x="35"/>
        <item x="10"/>
        <item x="36"/>
        <item x="20"/>
        <item x="21"/>
        <item x="44"/>
        <item x="45"/>
      </items>
    </pivotField>
    <pivotField axis="axisRow" showAll="0">
      <items count="72">
        <item x="61"/>
        <item x="60"/>
        <item x="34"/>
        <item x="37"/>
        <item x="24"/>
        <item x="40"/>
        <item x="27"/>
        <item x="39"/>
        <item x="26"/>
        <item x="38"/>
        <item x="25"/>
        <item x="43"/>
        <item x="41"/>
        <item x="28"/>
        <item x="69"/>
        <item x="33"/>
        <item x="68"/>
        <item x="32"/>
        <item x="67"/>
        <item x="29"/>
        <item x="19"/>
        <item x="64"/>
        <item x="50"/>
        <item x="53"/>
        <item x="52"/>
        <item x="51"/>
        <item x="62"/>
        <item x="63"/>
        <item x="16"/>
        <item x="15"/>
        <item x="12"/>
        <item x="7"/>
        <item x="17"/>
        <item x="18"/>
        <item x="8"/>
        <item x="14"/>
        <item x="13"/>
        <item x="11"/>
        <item x="46"/>
        <item x="0"/>
        <item x="2"/>
        <item x="49"/>
        <item x="23"/>
        <item x="55"/>
        <item x="48"/>
        <item x="1"/>
        <item x="3"/>
        <item x="47"/>
        <item x="22"/>
        <item x="54"/>
        <item x="20"/>
        <item x="21"/>
        <item x="66"/>
        <item x="65"/>
        <item x="59"/>
        <item x="70"/>
        <item x="5"/>
        <item x="56"/>
        <item x="31"/>
        <item x="58"/>
        <item x="42"/>
        <item x="30"/>
        <item x="57"/>
        <item x="6"/>
        <item x="4"/>
        <item x="9"/>
        <item x="35"/>
        <item x="10"/>
        <item x="36"/>
        <item x="44"/>
        <item x="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6"/>
        <item x="2"/>
        <item x="5"/>
        <item x="3"/>
        <item x="0"/>
        <item x="1"/>
        <item x="7"/>
        <item x="4"/>
        <item t="default"/>
      </items>
    </pivotField>
    <pivotField numFmtId="1" showAll="0"/>
    <pivotField showAll="0" defaultSubtotal="0"/>
    <pivotField showAll="0"/>
    <pivotField showAll="0"/>
    <pivotField showAll="0"/>
    <pivotField axis="axisPage" multipleItemSelectionAllowed="1" showAll="0" defaultSubtotal="0">
      <items count="4">
        <item h="1" x="0"/>
        <item x="1"/>
        <item x="3"/>
        <item h="1" x="2"/>
      </items>
    </pivotField>
    <pivotField dataField="1" dragToRow="0" dragToCol="0" dragToPage="0" showAll="0" defaultSubtotal="0"/>
  </pivotFields>
  <rowFields count="2">
    <field x="1"/>
    <field x="2"/>
  </rowFields>
  <rowItems count="52">
    <i>
      <x/>
      <x v="3"/>
    </i>
    <i>
      <x v="1"/>
      <x v="9"/>
    </i>
    <i>
      <x v="2"/>
      <x v="7"/>
    </i>
    <i>
      <x v="3"/>
      <x v="5"/>
    </i>
    <i>
      <x v="4"/>
      <x v="4"/>
    </i>
    <i>
      <x v="5"/>
      <x v="10"/>
    </i>
    <i>
      <x v="6"/>
      <x v="8"/>
    </i>
    <i>
      <x v="7"/>
      <x v="6"/>
    </i>
    <i>
      <x v="8"/>
      <x v="13"/>
    </i>
    <i>
      <x v="9"/>
      <x v="19"/>
    </i>
    <i>
      <x v="10"/>
      <x v="17"/>
    </i>
    <i>
      <x v="11"/>
      <x v="15"/>
    </i>
    <i>
      <x v="12"/>
      <x v="12"/>
    </i>
    <i>
      <x v="13"/>
      <x v="18"/>
    </i>
    <i>
      <x v="14"/>
      <x v="16"/>
    </i>
    <i>
      <x v="15"/>
      <x v="14"/>
    </i>
    <i>
      <x v="16"/>
      <x v="2"/>
    </i>
    <i>
      <x v="17"/>
      <x v="11"/>
    </i>
    <i>
      <x v="18"/>
      <x v="20"/>
    </i>
    <i>
      <x v="19"/>
      <x v="38"/>
    </i>
    <i>
      <x v="20"/>
      <x v="47"/>
    </i>
    <i>
      <x v="21"/>
      <x v="44"/>
    </i>
    <i>
      <x v="22"/>
      <x v="41"/>
    </i>
    <i>
      <x v="23"/>
      <x v="39"/>
    </i>
    <i>
      <x v="24"/>
      <x v="48"/>
    </i>
    <i>
      <x v="25"/>
      <x v="45"/>
    </i>
    <i>
      <x v="26"/>
      <x v="42"/>
    </i>
    <i>
      <x v="32"/>
      <x v="60"/>
    </i>
    <i>
      <x v="37"/>
      <x v="56"/>
    </i>
    <i>
      <x v="38"/>
      <x v="63"/>
    </i>
    <i>
      <x v="39"/>
      <x v="61"/>
    </i>
    <i>
      <x v="40"/>
      <x v="58"/>
    </i>
    <i>
      <x v="41"/>
      <x v="37"/>
    </i>
    <i>
      <x v="42"/>
      <x v="30"/>
    </i>
    <i>
      <x v="43"/>
      <x v="36"/>
    </i>
    <i>
      <x v="44"/>
      <x v="35"/>
    </i>
    <i>
      <x v="45"/>
      <x v="29"/>
    </i>
    <i>
      <x v="46"/>
      <x v="28"/>
    </i>
    <i>
      <x v="47"/>
      <x v="32"/>
    </i>
    <i>
      <x v="48"/>
      <x v="33"/>
    </i>
    <i>
      <x v="57"/>
      <x v="31"/>
    </i>
    <i>
      <x v="58"/>
      <x v="34"/>
    </i>
    <i>
      <x v="59"/>
      <x v="22"/>
    </i>
    <i>
      <x v="60"/>
      <x v="25"/>
    </i>
    <i>
      <x v="61"/>
      <x v="24"/>
    </i>
    <i>
      <x v="62"/>
      <x v="23"/>
    </i>
    <i>
      <x v="63"/>
      <x v="65"/>
    </i>
    <i>
      <x v="64"/>
      <x v="66"/>
    </i>
    <i>
      <x v="65"/>
      <x v="67"/>
    </i>
    <i>
      <x v="66"/>
      <x v="68"/>
    </i>
    <i>
      <x v="67"/>
      <x v="50"/>
    </i>
    <i>
      <x v="68"/>
      <x v="51"/>
    </i>
  </rowItems>
  <colItems count="1">
    <i/>
  </colItems>
  <pageFields count="2">
    <pageField fld="19" hier="-1"/>
    <pageField fld="13" hier="-1"/>
  </pageFields>
  <dataFields count="1">
    <dataField name="TOTALE USCITO" fld="20" baseField="0" baseItem="0"/>
  </dataFields>
  <formats count="4">
    <format dxfId="156">
      <pivotArea outline="0" collapsedLevelsAreSubtotals="1" fieldPosition="0"/>
    </format>
    <format dxfId="155">
      <pivotArea dataOnly="0" labelOnly="1" outline="0" axis="axisValues" fieldPosition="0"/>
    </format>
    <format dxfId="154">
      <pivotArea outline="0" collapsedLevelsAreSubtotals="1" fieldPosition="0"/>
    </format>
    <format dxfId="153">
      <pivotArea dataOnly="0" labelOnly="1" outline="0" axis="axisValues" fieldPosition="0"/>
    </format>
  </formats>
  <pivotTableStyleInfo name="PivotStyleMedium9" showRowHeaders="1" showColHeaders="1" showRowStripes="1" showColStripes="1" showLastColumn="1"/>
</pivotTableDefinition>
</file>

<file path=xl/pivotTables/pivotTable3.xml><?xml version="1.0" encoding="utf-8"?>
<pivotTableDefinition xmlns="http://schemas.openxmlformats.org/spreadsheetml/2006/main" name="Tabella_pivot3" cacheId="5" applyNumberFormats="0" applyBorderFormats="0" applyFontFormats="0" applyPatternFormats="0" applyAlignmentFormats="0" applyWidthHeightFormats="1" dataCaption="Valori" updatedVersion="3" minRefreshableVersion="3" showCalcMbrs="0" showDrill="0" useAutoFormatting="1" itemPrintTitles="1" createdVersion="3" indent="0" outline="1" outlineData="1" multipleFieldFilters="0">
  <location ref="O5:R9" firstHeaderRow="1" firstDataRow="1" firstDataCol="3" rowPageCount="2" colPageCount="1"/>
  <pivotFields count="46">
    <pivotField axis="axisRow"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axis="axisRow"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x="0"/>
        <item x="1"/>
        <item t="default"/>
      </items>
    </pivotField>
    <pivotField showAll="0"/>
    <pivotField showAll="0"/>
    <pivotField showAll="0"/>
    <pivotField axis="axisPage" multipleItemSelectionAllowed="1" showAll="0">
      <items count="4">
        <item h="1" x="0"/>
        <item h="1"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1"/>
    <field x="0"/>
    <field x="2"/>
  </rowFields>
  <rowItems count="4">
    <i>
      <x v="2"/>
      <x v="15"/>
      <x v="2"/>
    </i>
    <i>
      <x v="6"/>
      <x v="16"/>
      <x v="2"/>
    </i>
    <i>
      <x v="16"/>
      <x v="24"/>
      <x v="2"/>
    </i>
    <i t="grand">
      <x/>
    </i>
  </rowItems>
  <colItems count="1">
    <i/>
  </colItems>
  <pageFields count="2">
    <pageField fld="21" hier="-1"/>
    <pageField fld="17" hier="-1"/>
  </pageFields>
  <dataFields count="1">
    <dataField name="COST OF GOODS " fld="25" baseField="0" baseItem="0" numFmtId="44"/>
  </dataFields>
  <formats count="20">
    <format dxfId="82">
      <pivotArea outline="0" collapsedLevelsAreSubtotals="1" fieldPosition="0"/>
    </format>
    <format dxfId="81">
      <pivotArea dataOnly="0" labelOnly="1" outline="0" axis="axisValues" fieldPosition="0"/>
    </format>
    <format dxfId="80">
      <pivotArea outline="0" collapsedLevelsAreSubtotals="1" fieldPosition="0"/>
    </format>
    <format dxfId="79">
      <pivotArea dataOnly="0" labelOnly="1" outline="0" axis="axisValues" fieldPosition="0"/>
    </format>
    <format dxfId="78">
      <pivotArea dataOnly="0" labelOnly="1" fieldPosition="0">
        <references count="2">
          <reference field="0" count="1">
            <x v="15"/>
          </reference>
          <reference field="1" count="1" selected="0">
            <x v="2"/>
          </reference>
        </references>
      </pivotArea>
    </format>
    <format dxfId="77">
      <pivotArea dataOnly="0" labelOnly="1" fieldPosition="0">
        <references count="2">
          <reference field="0" count="1">
            <x v="16"/>
          </reference>
          <reference field="1" count="1" selected="0">
            <x v="6"/>
          </reference>
        </references>
      </pivotArea>
    </format>
    <format dxfId="76">
      <pivotArea dataOnly="0" labelOnly="1" fieldPosition="0">
        <references count="2">
          <reference field="0" count="1">
            <x v="15"/>
          </reference>
          <reference field="1" count="1" selected="0">
            <x v="2"/>
          </reference>
        </references>
      </pivotArea>
    </format>
    <format dxfId="75">
      <pivotArea dataOnly="0" labelOnly="1" fieldPosition="0">
        <references count="2">
          <reference field="0" count="1">
            <x v="16"/>
          </reference>
          <reference field="1" count="1" selected="0">
            <x v="6"/>
          </reference>
        </references>
      </pivotArea>
    </format>
    <format dxfId="74">
      <pivotArea field="1" type="button" dataOnly="0" labelOnly="1" outline="0" axis="axisRow" fieldPosition="0"/>
    </format>
    <format dxfId="73">
      <pivotArea field="0" type="button" dataOnly="0" labelOnly="1" outline="0" axis="axisRow" fieldPosition="1"/>
    </format>
    <format dxfId="72">
      <pivotArea field="2" type="button" dataOnly="0" labelOnly="1" outline="0" axis="axisRow" fieldPosition="2"/>
    </format>
    <format dxfId="71">
      <pivotArea dataOnly="0" labelOnly="1" outline="0" axis="axisValues" fieldPosition="0"/>
    </format>
    <format dxfId="70">
      <pivotArea field="1" type="button" dataOnly="0" labelOnly="1" outline="0" axis="axisRow" fieldPosition="0"/>
    </format>
    <format dxfId="69">
      <pivotArea field="0" type="button" dataOnly="0" labelOnly="1" outline="0" axis="axisRow" fieldPosition="1"/>
    </format>
    <format dxfId="68">
      <pivotArea field="2" type="button" dataOnly="0" labelOnly="1" outline="0" axis="axisRow" fieldPosition="2"/>
    </format>
    <format dxfId="67">
      <pivotArea dataOnly="0" labelOnly="1" outline="0" axis="axisValues" fieldPosition="0"/>
    </format>
    <format dxfId="66">
      <pivotArea dataOnly="0" labelOnly="1" fieldPosition="0">
        <references count="3">
          <reference field="0" count="1" selected="0">
            <x v="15"/>
          </reference>
          <reference field="1" count="1" selected="0">
            <x v="2"/>
          </reference>
          <reference field="2" count="1">
            <x v="2"/>
          </reference>
        </references>
      </pivotArea>
    </format>
    <format dxfId="65">
      <pivotArea dataOnly="0" labelOnly="1" fieldPosition="0">
        <references count="3">
          <reference field="0" count="1" selected="0">
            <x v="16"/>
          </reference>
          <reference field="1" count="1" selected="0">
            <x v="6"/>
          </reference>
          <reference field="2" count="1">
            <x v="2"/>
          </reference>
        </references>
      </pivotArea>
    </format>
    <format dxfId="64">
      <pivotArea dataOnly="0" labelOnly="1" fieldPosition="0">
        <references count="3">
          <reference field="0" count="1" selected="0">
            <x v="15"/>
          </reference>
          <reference field="1" count="1" selected="0">
            <x v="2"/>
          </reference>
          <reference field="2" count="1">
            <x v="2"/>
          </reference>
        </references>
      </pivotArea>
    </format>
    <format dxfId="63">
      <pivotArea dataOnly="0" labelOnly="1" fieldPosition="0">
        <references count="3">
          <reference field="0" count="1" selected="0">
            <x v="16"/>
          </reference>
          <reference field="1" count="1" selected="0">
            <x v="6"/>
          </reference>
          <reference field="2" count="1">
            <x v="2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pivotTables/pivotTable4.xml><?xml version="1.0" encoding="utf-8"?>
<pivotTableDefinition xmlns="http://schemas.openxmlformats.org/spreadsheetml/2006/main" name="Tabella_pivot2" cacheId="5" applyNumberFormats="0" applyBorderFormats="0" applyFontFormats="0" applyPatternFormats="0" applyAlignmentFormats="0" applyWidthHeightFormats="1" dataCaption="Valori" updatedVersion="3" minRefreshableVersion="3" showCalcMbrs="0" showDrill="0" itemPrintTitles="1" createdVersion="3" indent="0" outline="1" outlineData="1" multipleFieldFilters="0">
  <location ref="I4:M9" firstHeaderRow="1" firstDataRow="2" firstDataCol="3" rowPageCount="2" colPageCount="1"/>
  <pivotFields count="46">
    <pivotField axis="axisRow"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axis="axisRow"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dataField="1" numFmtId="170" showAll="0"/>
    <pivotField showAll="0"/>
    <pivotField axis="axisPage" multipleItemSelectionAllowed="1" showAll="0">
      <items count="4">
        <item x="2"/>
        <item x="0"/>
        <item x="1"/>
        <item t="default"/>
      </items>
    </pivotField>
    <pivotField showAll="0"/>
    <pivotField showAll="0"/>
    <pivotField showAll="0"/>
    <pivotField axis="axisPage" multipleItemSelectionAllowed="1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1"/>
    <field x="0"/>
    <field x="2"/>
  </rowFields>
  <rowItems count="4">
    <i>
      <x v="8"/>
      <x v="17"/>
      <x v="12"/>
    </i>
    <i>
      <x v="12"/>
      <x v="18"/>
      <x v="3"/>
    </i>
    <i r="1">
      <x v="19"/>
      <x v="13"/>
    </i>
    <i t="grand">
      <x/>
    </i>
  </rowItems>
  <colFields count="1">
    <field x="-2"/>
  </colFields>
  <colItems count="2">
    <i>
      <x/>
    </i>
    <i i="1">
      <x v="1"/>
    </i>
  </colItems>
  <pageFields count="2">
    <pageField fld="21" hier="-1"/>
    <pageField fld="17" hier="-1"/>
  </pageFields>
  <dataFields count="2">
    <dataField name="COST OF GOODS " fld="25" baseField="0" baseItem="0"/>
    <dataField name="COST OF TRANSPORT " fld="15" baseField="0" baseItem="0"/>
  </dataFields>
  <formats count="13">
    <format dxfId="9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4">
      <pivotArea dataOnly="0" labelOnly="1" fieldPosition="0">
        <references count="2">
          <reference field="0" count="1">
            <x v="17"/>
          </reference>
          <reference field="1" count="1" selected="0">
            <x v="8"/>
          </reference>
        </references>
      </pivotArea>
    </format>
    <format dxfId="93">
      <pivotArea dataOnly="0" labelOnly="1" fieldPosition="0">
        <references count="2">
          <reference field="0" count="2">
            <x v="18"/>
            <x v="19"/>
          </reference>
          <reference field="1" count="1" selected="0">
            <x v="12"/>
          </reference>
        </references>
      </pivotArea>
    </format>
    <format dxfId="92">
      <pivotArea dataOnly="0" labelOnly="1" fieldPosition="0">
        <references count="2">
          <reference field="0" count="1">
            <x v="17"/>
          </reference>
          <reference field="1" count="1" selected="0">
            <x v="8"/>
          </reference>
        </references>
      </pivotArea>
    </format>
    <format dxfId="91">
      <pivotArea dataOnly="0" labelOnly="1" fieldPosition="0">
        <references count="2">
          <reference field="0" count="2">
            <x v="18"/>
            <x v="19"/>
          </reference>
          <reference field="1" count="1" selected="0">
            <x v="12"/>
          </reference>
        </references>
      </pivotArea>
    </format>
    <format dxfId="90">
      <pivotArea field="1" type="button" dataOnly="0" labelOnly="1" outline="0" axis="axisRow" fieldPosition="0"/>
    </format>
    <format dxfId="89">
      <pivotArea field="0" type="button" dataOnly="0" labelOnly="1" outline="0" axis="axisRow" fieldPosition="1"/>
    </format>
    <format dxfId="88">
      <pivotArea field="2" type="button" dataOnly="0" labelOnly="1" outline="0" axis="axisRow" fieldPosition="2"/>
    </format>
    <format dxfId="8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6">
      <pivotArea field="1" type="button" dataOnly="0" labelOnly="1" outline="0" axis="axisRow" fieldPosition="0"/>
    </format>
    <format dxfId="85">
      <pivotArea field="0" type="button" dataOnly="0" labelOnly="1" outline="0" axis="axisRow" fieldPosition="1"/>
    </format>
    <format dxfId="84">
      <pivotArea field="2" type="button" dataOnly="0" labelOnly="1" outline="0" axis="axisRow" fieldPosition="2"/>
    </format>
    <format dxfId="8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pivotTables/pivotTable5.xml><?xml version="1.0" encoding="utf-8"?>
<pivotTableDefinition xmlns="http://schemas.openxmlformats.org/spreadsheetml/2006/main" name="Tabella_pivot1" cacheId="5" applyNumberFormats="0" applyBorderFormats="0" applyFontFormats="0" applyPatternFormats="0" applyAlignmentFormats="0" applyWidthHeightFormats="1" dataCaption="Valori" updatedVersion="3" minRefreshableVersion="3" showCalcMbrs="0" showDrill="0" colGrandTotals="0" itemPrintTitles="1" createdVersion="3" indent="0" outline="1" outlineData="1" multipleFieldFilters="0">
  <location ref="A4:G22" firstHeaderRow="1" firstDataRow="2" firstDataCol="3" rowPageCount="2" colPageCount="1"/>
  <pivotFields count="46">
    <pivotField axis="axisRow"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axis="axisRow" numFmtId="14" outline="0" showAll="0" sortType="descending" defaultSubtotal="0">
      <items count="18">
        <item x="0"/>
        <item x="4"/>
        <item x="5"/>
        <item x="6"/>
        <item x="1"/>
        <item x="3"/>
        <item x="7"/>
        <item x="2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h="1" x="0"/>
        <item h="1" x="1"/>
        <item t="default"/>
      </items>
    </pivotField>
    <pivotField showAll="0"/>
    <pivotField showAll="0"/>
    <pivotField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1"/>
    <field x="0"/>
    <field x="2"/>
  </rowFields>
  <rowItems count="17">
    <i>
      <x/>
      <x v="22"/>
      <x v="10"/>
    </i>
    <i>
      <x v="1"/>
      <x v="23"/>
      <x/>
    </i>
    <i>
      <x v="3"/>
      <x v="25"/>
      <x/>
    </i>
    <i>
      <x v="6"/>
      <x v="14"/>
      <x v="11"/>
    </i>
    <i>
      <x v="7"/>
      <x v="12"/>
      <x v="4"/>
    </i>
    <i>
      <x v="8"/>
      <x v="10"/>
      <x v="6"/>
    </i>
    <i>
      <x v="9"/>
      <x v="9"/>
      <x/>
    </i>
    <i>
      <x v="10"/>
      <x v="6"/>
      <x v="5"/>
    </i>
    <i>
      <x v="11"/>
      <x v="5"/>
      <x v="9"/>
    </i>
    <i>
      <x v="12"/>
      <x v="4"/>
      <x v="15"/>
    </i>
    <i>
      <x v="13"/>
      <x v="3"/>
      <x v="10"/>
    </i>
    <i>
      <x v="14"/>
      <x v="7"/>
      <x v="7"/>
    </i>
    <i>
      <x v="16"/>
      <x v="1"/>
      <x v="8"/>
    </i>
    <i r="1">
      <x v="2"/>
      <x v="6"/>
    </i>
    <i>
      <x v="17"/>
      <x/>
      <x/>
    </i>
    <i r="1">
      <x v="8"/>
      <x v="1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21" hier="-1"/>
    <pageField fld="17" hier="-1"/>
  </pageFields>
  <dataFields count="4">
    <dataField name="FATTURATO" fld="26" baseField="0" baseItem="0"/>
    <dataField name="REVENUE" fld="27" baseField="0" baseItem="0"/>
    <dataField name="EXP. PROFIT" fld="41" baseField="0" baseItem="0"/>
    <dataField name="PROFIT DEV. _x000a_FROM EXP." fld="42" baseField="0" baseItem="0"/>
  </dataFields>
  <formats count="47">
    <format dxfId="142">
      <pivotArea collapsedLevelsAreSubtotals="1" fieldPosition="0">
        <references count="3">
          <reference field="0" count="1" selected="0">
            <x v="0"/>
          </reference>
          <reference field="1" count="1" selected="0">
            <x v="17"/>
          </reference>
          <reference field="2" count="1">
            <x v="0"/>
          </reference>
        </references>
      </pivotArea>
    </format>
    <format dxfId="141">
      <pivotArea collapsedLevelsAreSubtotals="1" fieldPosition="0">
        <references count="3">
          <reference field="0" count="1" selected="0">
            <x v="8"/>
          </reference>
          <reference field="1" count="1" selected="0">
            <x v="17"/>
          </reference>
          <reference field="2" count="1">
            <x v="16"/>
          </reference>
        </references>
      </pivotArea>
    </format>
    <format dxfId="140">
      <pivotArea collapsedLevelsAreSubtotals="1" fieldPosition="0">
        <references count="3">
          <reference field="0" count="1" selected="0">
            <x v="1"/>
          </reference>
          <reference field="1" count="1" selected="0">
            <x v="16"/>
          </reference>
          <reference field="2" count="1">
            <x v="8"/>
          </reference>
        </references>
      </pivotArea>
    </format>
    <format dxfId="139">
      <pivotArea collapsedLevelsAreSubtotals="1" fieldPosition="0">
        <references count="3">
          <reference field="0" count="1" selected="0">
            <x v="2"/>
          </reference>
          <reference field="1" count="1" selected="0">
            <x v="16"/>
          </reference>
          <reference field="2" count="1">
            <x v="6"/>
          </reference>
        </references>
      </pivotArea>
    </format>
    <format dxfId="138">
      <pivotArea collapsedLevelsAreSubtotals="1" fieldPosition="0">
        <references count="3">
          <reference field="0" count="1" selected="0">
            <x v="7"/>
          </reference>
          <reference field="1" count="1" selected="0">
            <x v="14"/>
          </reference>
          <reference field="2" count="1">
            <x v="7"/>
          </reference>
        </references>
      </pivotArea>
    </format>
    <format dxfId="137">
      <pivotArea collapsedLevelsAreSubtotals="1" fieldPosition="0">
        <references count="3">
          <reference field="0" count="1" selected="0">
            <x v="3"/>
          </reference>
          <reference field="1" count="1" selected="0">
            <x v="13"/>
          </reference>
          <reference field="2" count="1">
            <x v="10"/>
          </reference>
        </references>
      </pivotArea>
    </format>
    <format dxfId="136">
      <pivotArea collapsedLevelsAreSubtotals="1" fieldPosition="0">
        <references count="3">
          <reference field="0" count="1" selected="0">
            <x v="4"/>
          </reference>
          <reference field="1" count="1" selected="0">
            <x v="12"/>
          </reference>
          <reference field="2" count="1">
            <x v="15"/>
          </reference>
        </references>
      </pivotArea>
    </format>
    <format dxfId="135">
      <pivotArea collapsedLevelsAreSubtotals="1" fieldPosition="0">
        <references count="3">
          <reference field="0" count="1" selected="0">
            <x v="5"/>
          </reference>
          <reference field="1" count="1" selected="0">
            <x v="11"/>
          </reference>
          <reference field="2" count="1">
            <x v="9"/>
          </reference>
        </references>
      </pivotArea>
    </format>
    <format dxfId="134">
      <pivotArea collapsedLevelsAreSubtotals="1" fieldPosition="0">
        <references count="3">
          <reference field="0" count="1" selected="0">
            <x v="6"/>
          </reference>
          <reference field="1" count="1" selected="0">
            <x v="10"/>
          </reference>
          <reference field="2" count="1">
            <x v="5"/>
          </reference>
        </references>
      </pivotArea>
    </format>
    <format dxfId="133">
      <pivotArea collapsedLevelsAreSubtotals="1" fieldPosition="0">
        <references count="3">
          <reference field="0" count="1" selected="0">
            <x v="9"/>
          </reference>
          <reference field="1" count="1" selected="0">
            <x v="9"/>
          </reference>
          <reference field="2" count="1">
            <x v="2"/>
          </reference>
        </references>
      </pivotArea>
    </format>
    <format dxfId="132">
      <pivotArea collapsedLevelsAreSubtotals="1" fieldPosition="0">
        <references count="3">
          <reference field="0" count="1" selected="0">
            <x v="10"/>
          </reference>
          <reference field="1" count="1" selected="0">
            <x v="8"/>
          </reference>
          <reference field="2" count="1">
            <x v="6"/>
          </reference>
        </references>
      </pivotArea>
    </format>
    <format dxfId="131">
      <pivotArea collapsedLevelsAreSubtotals="1" fieldPosition="0">
        <references count="3">
          <reference field="0" count="1" selected="0">
            <x v="11"/>
          </reference>
          <reference field="1" count="1" selected="0">
            <x v="7"/>
          </reference>
          <reference field="2" count="1">
            <x v="14"/>
          </reference>
        </references>
      </pivotArea>
    </format>
    <format dxfId="130">
      <pivotArea collapsedLevelsAreSubtotals="1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129">
      <pivotArea collapsedLevelsAreSubtotals="1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128">
      <pivotArea collapsedLevelsAreSubtotals="1" fieldPosition="0">
        <references count="3">
          <reference field="0" count="1" selected="0">
            <x v="14"/>
          </reference>
          <reference field="1" count="1" selected="0">
            <x v="6"/>
          </reference>
          <reference field="2" count="1">
            <x v="11"/>
          </reference>
        </references>
      </pivotArea>
    </format>
    <format dxfId="127">
      <pivotArea collapsedLevelsAreSubtotals="1" fieldPosition="0">
        <references count="3">
          <reference field="0" count="1" selected="0">
            <x v="20"/>
          </reference>
          <reference field="1" count="1" selected="0">
            <x v="4"/>
          </reference>
          <reference field="2" count="1">
            <x v="1"/>
          </reference>
        </references>
      </pivotArea>
    </format>
    <format dxfId="126">
      <pivotArea collapsedLevelsAreSubtotals="1" fieldPosition="0">
        <references count="3">
          <reference field="0" count="1" selected="0">
            <x v="0"/>
          </reference>
          <reference field="1" count="1" selected="0">
            <x v="17"/>
          </reference>
          <reference field="2" count="1">
            <x v="0"/>
          </reference>
        </references>
      </pivotArea>
    </format>
    <format dxfId="125">
      <pivotArea collapsedLevelsAreSubtotals="1" fieldPosition="0">
        <references count="3">
          <reference field="0" count="1" selected="0">
            <x v="8"/>
          </reference>
          <reference field="1" count="1" selected="0">
            <x v="17"/>
          </reference>
          <reference field="2" count="1">
            <x v="16"/>
          </reference>
        </references>
      </pivotArea>
    </format>
    <format dxfId="124">
      <pivotArea collapsedLevelsAreSubtotals="1" fieldPosition="0">
        <references count="3">
          <reference field="0" count="1" selected="0">
            <x v="1"/>
          </reference>
          <reference field="1" count="1" selected="0">
            <x v="16"/>
          </reference>
          <reference field="2" count="1">
            <x v="8"/>
          </reference>
        </references>
      </pivotArea>
    </format>
    <format dxfId="123">
      <pivotArea collapsedLevelsAreSubtotals="1" fieldPosition="0">
        <references count="3">
          <reference field="0" count="1" selected="0">
            <x v="2"/>
          </reference>
          <reference field="1" count="1" selected="0">
            <x v="16"/>
          </reference>
          <reference field="2" count="1">
            <x v="6"/>
          </reference>
        </references>
      </pivotArea>
    </format>
    <format dxfId="122">
      <pivotArea collapsedLevelsAreSubtotals="1" fieldPosition="0">
        <references count="3">
          <reference field="0" count="1" selected="0">
            <x v="7"/>
          </reference>
          <reference field="1" count="1" selected="0">
            <x v="14"/>
          </reference>
          <reference field="2" count="1">
            <x v="7"/>
          </reference>
        </references>
      </pivotArea>
    </format>
    <format dxfId="121">
      <pivotArea collapsedLevelsAreSubtotals="1" fieldPosition="0">
        <references count="3">
          <reference field="0" count="1" selected="0">
            <x v="3"/>
          </reference>
          <reference field="1" count="1" selected="0">
            <x v="13"/>
          </reference>
          <reference field="2" count="1">
            <x v="10"/>
          </reference>
        </references>
      </pivotArea>
    </format>
    <format dxfId="120">
      <pivotArea collapsedLevelsAreSubtotals="1" fieldPosition="0">
        <references count="3">
          <reference field="0" count="1" selected="0">
            <x v="4"/>
          </reference>
          <reference field="1" count="1" selected="0">
            <x v="12"/>
          </reference>
          <reference field="2" count="1">
            <x v="15"/>
          </reference>
        </references>
      </pivotArea>
    </format>
    <format dxfId="119">
      <pivotArea collapsedLevelsAreSubtotals="1" fieldPosition="0">
        <references count="3">
          <reference field="0" count="1" selected="0">
            <x v="5"/>
          </reference>
          <reference field="1" count="1" selected="0">
            <x v="11"/>
          </reference>
          <reference field="2" count="1">
            <x v="9"/>
          </reference>
        </references>
      </pivotArea>
    </format>
    <format dxfId="118">
      <pivotArea collapsedLevelsAreSubtotals="1" fieldPosition="0">
        <references count="3">
          <reference field="0" count="1" selected="0">
            <x v="6"/>
          </reference>
          <reference field="1" count="1" selected="0">
            <x v="10"/>
          </reference>
          <reference field="2" count="1">
            <x v="5"/>
          </reference>
        </references>
      </pivotArea>
    </format>
    <format dxfId="117">
      <pivotArea collapsedLevelsAreSubtotals="1" fieldPosition="0">
        <references count="3">
          <reference field="0" count="1" selected="0">
            <x v="9"/>
          </reference>
          <reference field="1" count="1" selected="0">
            <x v="9"/>
          </reference>
          <reference field="2" count="1">
            <x v="2"/>
          </reference>
        </references>
      </pivotArea>
    </format>
    <format dxfId="116">
      <pivotArea collapsedLevelsAreSubtotals="1" fieldPosition="0">
        <references count="3">
          <reference field="0" count="1" selected="0">
            <x v="10"/>
          </reference>
          <reference field="1" count="1" selected="0">
            <x v="8"/>
          </reference>
          <reference field="2" count="1">
            <x v="6"/>
          </reference>
        </references>
      </pivotArea>
    </format>
    <format dxfId="115">
      <pivotArea collapsedLevelsAreSubtotals="1" fieldPosition="0">
        <references count="3">
          <reference field="0" count="1" selected="0">
            <x v="11"/>
          </reference>
          <reference field="1" count="1" selected="0">
            <x v="7"/>
          </reference>
          <reference field="2" count="1">
            <x v="14"/>
          </reference>
        </references>
      </pivotArea>
    </format>
    <format dxfId="114">
      <pivotArea collapsedLevelsAreSubtotals="1" fieldPosition="0">
        <references count="3">
          <reference field="0" count="1" selected="0">
            <x v="12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113">
      <pivotArea collapsedLevelsAreSubtotals="1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2" count="1">
            <x v="4"/>
          </reference>
        </references>
      </pivotArea>
    </format>
    <format dxfId="112">
      <pivotArea collapsedLevelsAreSubtotals="1" fieldPosition="0">
        <references count="3">
          <reference field="0" count="1" selected="0">
            <x v="14"/>
          </reference>
          <reference field="1" count="1" selected="0">
            <x v="6"/>
          </reference>
          <reference field="2" count="1">
            <x v="11"/>
          </reference>
        </references>
      </pivotArea>
    </format>
    <format dxfId="111">
      <pivotArea collapsedLevelsAreSubtotals="1" fieldPosition="0">
        <references count="3">
          <reference field="0" count="1" selected="0">
            <x v="20"/>
          </reference>
          <reference field="1" count="1" selected="0">
            <x v="4"/>
          </reference>
          <reference field="2" count="1">
            <x v="1"/>
          </reference>
        </references>
      </pivotArea>
    </format>
    <format dxfId="110">
      <pivotArea grandRow="1" outline="0" collapsedLevelsAreSubtotals="1" fieldPosition="0"/>
    </format>
    <format dxfId="109">
      <pivotArea field="1" type="button" dataOnly="0" labelOnly="1" outline="0" axis="axisRow" fieldPosition="0"/>
    </format>
    <format dxfId="108">
      <pivotArea field="0" type="button" dataOnly="0" labelOnly="1" outline="0" axis="axisRow" fieldPosition="1"/>
    </format>
    <format dxfId="107">
      <pivotArea field="2" type="button" dataOnly="0" labelOnly="1" outline="0" axis="axisRow" fieldPosition="2"/>
    </format>
    <format dxfId="10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05">
      <pivotArea dataOnly="0" labelOnly="1" fieldPosition="0">
        <references count="1">
          <reference field="0" count="0"/>
        </references>
      </pivotArea>
    </format>
    <format dxfId="104">
      <pivotArea dataOnly="0" labelOnly="1" fieldPosition="0">
        <references count="1">
          <reference field="0" count="0"/>
        </references>
      </pivotArea>
    </format>
    <format dxfId="103">
      <pivotArea field="1" type="button" dataOnly="0" labelOnly="1" outline="0" axis="axisRow" fieldPosition="0"/>
    </format>
    <format dxfId="102">
      <pivotArea field="0" type="button" dataOnly="0" labelOnly="1" outline="0" axis="axisRow" fieldPosition="1"/>
    </format>
    <format dxfId="101">
      <pivotArea field="2" type="button" dataOnly="0" labelOnly="1" outline="0" axis="axisRow" fieldPosition="2"/>
    </format>
    <format dxfId="10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99">
      <pivotArea field="1" type="button" dataOnly="0" labelOnly="1" outline="0" axis="axisRow" fieldPosition="0"/>
    </format>
    <format dxfId="98">
      <pivotArea field="0" type="button" dataOnly="0" labelOnly="1" outline="0" axis="axisRow" fieldPosition="1"/>
    </format>
    <format dxfId="97">
      <pivotArea field="2" type="button" dataOnly="0" labelOnly="1" outline="0" axis="axisRow" fieldPosition="2"/>
    </format>
    <format dxfId="9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Medium9" showRowHeaders="1" showColHeaders="1" showRowStripes="1" showColStripes="0" showLastColumn="1"/>
</pivotTableDefinition>
</file>

<file path=xl/pivotTables/pivotTable6.xml><?xml version="1.0" encoding="utf-8"?>
<pivotTableDefinition xmlns="http://schemas.openxmlformats.org/spreadsheetml/2006/main" name="Tabella_pivot4" cacheId="5" applyNumberFormats="0" applyBorderFormats="0" applyFontFormats="0" applyPatternFormats="0" applyAlignmentFormats="0" applyWidthHeightFormats="1" dataCaption="Valori" updatedVersion="3" minRefreshableVersion="3" showCalcMbrs="0" rowGrandTotals="0" colGrandTotals="0" itemPrintTitles="1" createdVersion="3" indent="0" outline="1" outlineData="1" multipleFieldFilters="0">
  <location ref="A4:E8" firstHeaderRow="1" firstDataRow="2" firstDataCol="2" rowPageCount="2" colPageCount="1"/>
  <pivotFields count="46">
    <pivotField outline="0" showAll="0" defaultSubtotal="0"/>
    <pivotField numFmtId="14" showAll="0"/>
    <pivotField axis="axisRow" showAll="0" measureFilter="1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h="1" x="0"/>
        <item h="1" x="1"/>
        <item t="default"/>
      </items>
    </pivotField>
    <pivotField showAll="0"/>
    <pivotField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14"/>
        <item x="9"/>
        <item x="0"/>
        <item x="2"/>
        <item x="3"/>
        <item x="4"/>
        <item x="5"/>
        <item x="7"/>
      </items>
    </pivotField>
    <pivotField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1" showAll="0"/>
    <pivotField dataField="1"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19"/>
    <field x="2"/>
  </rowFields>
  <rowItems count="3">
    <i>
      <x v="3"/>
      <x v="6"/>
    </i>
    <i>
      <x v="4"/>
      <x v="10"/>
    </i>
    <i>
      <x v="9"/>
      <x v="16"/>
    </i>
  </rowItems>
  <colFields count="1">
    <field x="-2"/>
  </colFields>
  <colItems count="3">
    <i>
      <x/>
    </i>
    <i i="1">
      <x v="1"/>
    </i>
    <i i="2">
      <x v="2"/>
    </i>
  </colItems>
  <pageFields count="2">
    <pageField fld="21" hier="-1"/>
    <pageField fld="17" hier="-1"/>
  </pageFields>
  <dataFields count="3">
    <dataField name="LABOR HOURS" fld="28" baseField="0" baseItem="0"/>
    <dataField name="COST / HOUR" fld="29" baseField="0" baseItem="0"/>
    <dataField name="LABOR COST TOTAL" fld="43" baseField="0" baseItem="0"/>
  </dataFields>
  <formats count="8">
    <format dxfId="6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60">
      <pivotArea dataOnly="0" outline="0" fieldPosition="0">
        <references count="1">
          <reference field="4294967294" count="1">
            <x v="1"/>
          </reference>
        </references>
      </pivotArea>
    </format>
    <format dxfId="59">
      <pivotArea dataOnly="0" outline="0" fieldPosition="0">
        <references count="1">
          <reference field="4294967294" count="1">
            <x v="2"/>
          </reference>
        </references>
      </pivotArea>
    </format>
    <format dxfId="58">
      <pivotArea dataOnly="0" labelOnly="1" outline="0" fieldPosition="0">
        <references count="1">
          <reference field="21" count="0"/>
        </references>
      </pivotArea>
    </format>
    <format dxfId="57">
      <pivotArea dataOnly="0" labelOnly="1" outline="0" fieldPosition="0">
        <references count="1">
          <reference field="17" count="0"/>
        </references>
      </pivotArea>
    </format>
    <format dxfId="56">
      <pivotArea dataOnly="0" labelOnly="1" outline="0" fieldPosition="0">
        <references count="1">
          <reference field="21" count="0"/>
        </references>
      </pivotArea>
    </format>
    <format dxfId="55">
      <pivotArea dataOnly="0" labelOnly="1" outline="0" fieldPosition="0">
        <references count="1">
          <reference field="17" count="0"/>
        </references>
      </pivotArea>
    </format>
  </formats>
  <pivotTableStyleInfo name="PivotStyleMedium9" showRowHeaders="1" showColHeaders="1" showRowStripes="1" showColStripes="1" showLastColumn="1"/>
  <filters count="1">
    <filter fld="2" type="valueNotEqual" evalOrder="-1" id="1" iMeasureFld="0">
      <autoFilter ref="A1">
        <filterColumn colId="0">
          <customFilters>
            <customFilter operator="notEqual" val="0"/>
          </customFilters>
        </filterColumn>
      </autoFilter>
    </filter>
  </filters>
</pivotTableDefinition>
</file>

<file path=xl/pivotTables/pivotTable7.xml><?xml version="1.0" encoding="utf-8"?>
<pivotTableDefinition xmlns="http://schemas.openxmlformats.org/spreadsheetml/2006/main" name="Tabella_pivot1" cacheId="5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H5:L9" firstHeaderRow="1" firstDataRow="2" firstDataCol="3" rowPageCount="1" colPageCount="1"/>
  <pivotFields count="46">
    <pivotField showAll="0"/>
    <pivotField axis="axisRow"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name="SUPPLIER" axis="axisRow" showAll="0">
      <items count="18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  <item t="default"/>
      </items>
    </pivotField>
    <pivotField showAll="0"/>
    <pivotField showAll="0"/>
    <pivotField showAll="0"/>
    <pivotField showAll="0"/>
    <pivotField showAll="0"/>
    <pivotField dataField="1"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showAll="0"/>
    <pivotField showAll="0"/>
    <pivotField name="INVOICE_NO."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14"/>
        <item x="9"/>
        <item x="0"/>
        <item x="2"/>
        <item x="3"/>
        <item x="4"/>
        <item x="5"/>
        <item x="7"/>
      </items>
    </pivotField>
    <pivotField showAll="0"/>
    <pivotField axis="axisPage" multipleItemSelectionAllowed="1" showAll="0">
      <items count="4">
        <item h="1" x="0"/>
        <item h="1"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3">
    <field x="1"/>
    <field x="19"/>
    <field x="2"/>
  </rowFields>
  <rowItems count="3">
    <i>
      <x v="2"/>
      <x v="12"/>
      <x v="2"/>
    </i>
    <i>
      <x v="6"/>
      <x v="13"/>
      <x v="2"/>
    </i>
    <i>
      <x v="16"/>
      <x/>
      <x v="2"/>
    </i>
  </rowItems>
  <colFields count="1">
    <field x="-2"/>
  </colFields>
  <colItems count="2">
    <i>
      <x/>
    </i>
    <i i="1">
      <x v="1"/>
    </i>
  </colItems>
  <pageFields count="1">
    <pageField fld="21" hier="-1"/>
  </pageFields>
  <dataFields count="2">
    <dataField name="PALLET NO." fld="8" baseField="0" baseItem="0"/>
    <dataField name="PALLET _x000a_MOVIMENTATION_x000a_ COST" fld="45" baseField="0" baseItem="0"/>
  </dataFields>
  <formats count="21">
    <format dxfId="31">
      <pivotArea dataOnly="0" labelOnly="1" outline="0" axis="axisValues" fieldPosition="0"/>
    </format>
    <format dxfId="30">
      <pivotArea field="1" type="button" dataOnly="0" labelOnly="1" outline="0" axis="axisRow" fieldPosition="0"/>
    </format>
    <format dxfId="29">
      <pivotArea field="19" type="button" dataOnly="0" labelOnly="1" outline="0" axis="axisRow" fieldPosition="1"/>
    </format>
    <format dxfId="28">
      <pivotArea field="2" type="button" dataOnly="0" labelOnly="1" outline="0" axis="axisRow" fieldPosition="2"/>
    </format>
    <format dxfId="2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6">
      <pivotArea field="1" type="button" dataOnly="0" labelOnly="1" outline="0" axis="axisRow" fieldPosition="0"/>
    </format>
    <format dxfId="25">
      <pivotArea field="19" type="button" dataOnly="0" labelOnly="1" outline="0" axis="axisRow" fieldPosition="1"/>
    </format>
    <format dxfId="24">
      <pivotArea field="2" type="button" dataOnly="0" labelOnly="1" outline="0" axis="axisRow" fieldPosition="2"/>
    </format>
    <format dxfId="2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1">
      <pivotArea dataOnly="0" outline="0" fieldPosition="0">
        <references count="1">
          <reference field="4294967294" count="1">
            <x v="1"/>
          </reference>
        </references>
      </pivotArea>
    </format>
    <format dxfId="2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9">
      <pivotArea dataOnly="0" labelOnly="1" fieldPosition="0">
        <references count="2">
          <reference field="1" count="1" selected="0">
            <x v="2"/>
          </reference>
          <reference field="19" count="1">
            <x v="12"/>
          </reference>
        </references>
      </pivotArea>
    </format>
    <format dxfId="18">
      <pivotArea dataOnly="0" labelOnly="1" fieldPosition="0">
        <references count="2">
          <reference field="1" count="1" selected="0">
            <x v="6"/>
          </reference>
          <reference field="19" count="1">
            <x v="13"/>
          </reference>
        </references>
      </pivotArea>
    </format>
    <format dxfId="17">
      <pivotArea dataOnly="0" labelOnly="1" fieldPosition="0">
        <references count="3">
          <reference field="1" count="1" selected="0">
            <x v="2"/>
          </reference>
          <reference field="2" count="1">
            <x v="2"/>
          </reference>
          <reference field="19" count="1" selected="0">
            <x v="12"/>
          </reference>
        </references>
      </pivotArea>
    </format>
    <format dxfId="16">
      <pivotArea dataOnly="0" labelOnly="1" fieldPosition="0">
        <references count="3">
          <reference field="1" count="1" selected="0">
            <x v="6"/>
          </reference>
          <reference field="2" count="1">
            <x v="2"/>
          </reference>
          <reference field="19" count="1" selected="0">
            <x v="13"/>
          </reference>
        </references>
      </pivotArea>
    </format>
    <format dxfId="1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4">
      <pivotArea dataOnly="0" labelOnly="1" fieldPosition="0">
        <references count="2">
          <reference field="1" count="1" selected="0">
            <x v="2"/>
          </reference>
          <reference field="19" count="1">
            <x v="12"/>
          </reference>
        </references>
      </pivotArea>
    </format>
    <format dxfId="13">
      <pivotArea dataOnly="0" labelOnly="1" fieldPosition="0">
        <references count="2">
          <reference field="1" count="1" selected="0">
            <x v="6"/>
          </reference>
          <reference field="19" count="1">
            <x v="13"/>
          </reference>
        </references>
      </pivotArea>
    </format>
    <format dxfId="12">
      <pivotArea dataOnly="0" labelOnly="1" fieldPosition="0">
        <references count="3">
          <reference field="1" count="1" selected="0">
            <x v="2"/>
          </reference>
          <reference field="2" count="1">
            <x v="2"/>
          </reference>
          <reference field="19" count="1" selected="0">
            <x v="12"/>
          </reference>
        </references>
      </pivotArea>
    </format>
    <format dxfId="11">
      <pivotArea dataOnly="0" labelOnly="1" fieldPosition="0">
        <references count="3">
          <reference field="1" count="1" selected="0">
            <x v="6"/>
          </reference>
          <reference field="2" count="1">
            <x v="2"/>
          </reference>
          <reference field="19" count="1" selected="0">
            <x v="13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pivotTables/pivotTable8.xml><?xml version="1.0" encoding="utf-8"?>
<pivotTableDefinition xmlns="http://schemas.openxmlformats.org/spreadsheetml/2006/main" name="Tabella_pivot5" cacheId="5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A5:F10" firstHeaderRow="1" firstDataRow="2" firstDataCol="3" rowPageCount="3" colPageCount="1"/>
  <pivotFields count="46">
    <pivotField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0"/>
        <item x="5"/>
        <item x="6"/>
        <item x="7"/>
        <item x="8"/>
      </items>
    </pivotField>
    <pivotField numFmtId="14" outline="0" showAll="0" defaultSubtotal="0">
      <items count="18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0"/>
        <item x="4"/>
        <item x="5"/>
        <item x="6"/>
      </items>
    </pivotField>
    <pivotField name="CUSTOMER " axis="axisRow" outline="0" showAll="0" defaultSubtotal="0">
      <items count="17">
        <item x="6"/>
        <item x="1"/>
        <item x="7"/>
        <item x="8"/>
        <item x="2"/>
        <item x="11"/>
        <item x="0"/>
        <item x="14"/>
        <item x="15"/>
        <item x="12"/>
        <item x="5"/>
        <item x="9"/>
        <item x="10"/>
        <item x="4"/>
        <item x="3"/>
        <item x="13"/>
        <item x="16"/>
      </items>
    </pivotField>
    <pivotField showAll="0"/>
    <pivotField showAll="0"/>
    <pivotField showAll="0"/>
    <pivotField showAll="0"/>
    <pivotField axis="axisPage" multipleItemSelectionAllowed="1" showAll="0">
      <items count="4">
        <item x="1"/>
        <item x="0"/>
        <item x="2"/>
        <item t="default"/>
      </items>
    </pivotField>
    <pivotField dataField="1" numFmtId="1" showAll="0"/>
    <pivotField numFmtId="170" showAll="0"/>
    <pivotField numFmtId="170" showAll="0"/>
    <pivotField showAll="0"/>
    <pivotField showAll="0"/>
    <pivotField showAll="0"/>
    <pivotField showAll="0"/>
    <pivotField numFmtId="170" showAll="0"/>
    <pivotField showAll="0"/>
    <pivotField axis="axisPage" multipleItemSelectionAllowed="1" showAll="0">
      <items count="4">
        <item x="2"/>
        <item h="1" x="0"/>
        <item x="1"/>
        <item t="default"/>
      </items>
    </pivotField>
    <pivotField showAll="0"/>
    <pivotField name="INVOICE_NO."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14"/>
        <item x="9"/>
        <item x="0"/>
        <item x="2"/>
        <item x="3"/>
        <item x="4"/>
        <item x="5"/>
        <item x="7"/>
      </items>
    </pivotField>
    <pivotField axis="axisRow" outline="0" showAll="0" defaultSubtotal="0">
      <items count="16">
        <item x="1"/>
        <item x="15"/>
        <item x="14"/>
        <item x="13"/>
        <item x="11"/>
        <item x="10"/>
        <item x="9"/>
        <item x="8"/>
        <item x="12"/>
        <item x="6"/>
        <item x="7"/>
        <item x="0"/>
        <item x="2"/>
        <item x="3"/>
        <item x="4"/>
        <item x="5"/>
      </items>
    </pivotField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numFmtId="1" showAll="0"/>
    <pivotField numFmtId="170" showAll="0"/>
    <pivotField showAll="0"/>
    <pivotField numFmtId="170"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3">
    <field x="20"/>
    <field x="19"/>
    <field x="2"/>
  </rowFields>
  <rowItems count="4">
    <i>
      <x/>
      <x/>
      <x v="4"/>
    </i>
    <i>
      <x v="1"/>
      <x v="1"/>
      <x/>
    </i>
    <i>
      <x v="2"/>
      <x v="2"/>
      <x v="8"/>
    </i>
    <i r="1">
      <x v="3"/>
      <x v="6"/>
    </i>
  </rowItems>
  <colFields count="1">
    <field x="-2"/>
  </colFields>
  <colItems count="3">
    <i>
      <x/>
    </i>
    <i i="1">
      <x v="1"/>
    </i>
    <i i="2">
      <x v="2"/>
    </i>
  </colItems>
  <pageFields count="3">
    <pageField fld="21" hier="-1"/>
    <pageField fld="7" hier="-1"/>
    <pageField fld="17" hier="-1"/>
  </pageFields>
  <dataFields count="3">
    <dataField name="EURO PALLET NO." fld="8" baseField="0" baseItem="0"/>
    <dataField name="PALLET_x000a_ COST " fld="44" subtotal="max" baseField="0" baseItem="0"/>
    <dataField name="PALLET _x000a_MOVIMENTATION_x000a_ COST" fld="45" baseField="0" baseItem="0"/>
  </dataFields>
  <formats count="23">
    <format dxfId="54">
      <pivotArea field="1" type="button" dataOnly="0" labelOnly="1" outline="0"/>
    </format>
    <format dxfId="53">
      <pivotArea field="0" type="button" dataOnly="0" labelOnly="1" outline="0"/>
    </format>
    <format dxfId="52">
      <pivotArea field="2" type="button" dataOnly="0" labelOnly="1" outline="0" axis="axisRow" fieldPosition="2"/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field="1" type="button" dataOnly="0" labelOnly="1" outline="0"/>
    </format>
    <format dxfId="49">
      <pivotArea field="0" type="button" dataOnly="0" labelOnly="1" outline="0"/>
    </format>
    <format dxfId="48">
      <pivotArea field="1" type="button" dataOnly="0" labelOnly="1" outline="0"/>
    </format>
    <format dxfId="47">
      <pivotArea field="0" type="button" dataOnly="0" labelOnly="1" outline="0"/>
    </format>
    <format dxfId="46">
      <pivotArea dataOnly="0" outline="0" fieldPosition="0">
        <references count="1">
          <reference field="4294967294" count="2"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19" count="0"/>
        </references>
      </pivotArea>
    </format>
    <format dxfId="44">
      <pivotArea dataOnly="0" labelOnly="1" outline="0" fieldPosition="0">
        <references count="1">
          <reference field="19" count="0"/>
        </references>
      </pivotArea>
    </format>
    <format dxfId="43">
      <pivotArea field="20" type="button" dataOnly="0" labelOnly="1" outline="0" axis="axisRow" fieldPosition="0"/>
    </format>
    <format dxfId="42">
      <pivotArea field="19" type="button" dataOnly="0" labelOnly="1" outline="0" axis="axisRow" fieldPosition="1"/>
    </format>
    <format dxfId="41">
      <pivotArea field="2" type="button" dataOnly="0" labelOnly="1" outline="0" axis="axisRow" fieldPosition="2"/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field="20" type="button" dataOnly="0" labelOnly="1" outline="0" axis="axisRow" fieldPosition="0"/>
    </format>
    <format dxfId="38">
      <pivotArea field="19" type="button" dataOnly="0" labelOnly="1" outline="0" axis="axisRow" fieldPosition="1"/>
    </format>
    <format dxfId="37">
      <pivotArea field="2" type="button" dataOnly="0" labelOnly="1" outline="0" axis="axisRow" fieldPosition="2"/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fieldPosition="0">
        <references count="1">
          <reference field="20" count="2">
            <x v="1"/>
            <x v="2"/>
          </reference>
        </references>
      </pivotArea>
    </format>
    <format dxfId="34">
      <pivotArea dataOnly="0" labelOnly="1" fieldPosition="0">
        <references count="1">
          <reference field="20" count="2">
            <x v="1"/>
            <x v="2"/>
          </reference>
        </references>
      </pivotArea>
    </format>
    <format dxfId="3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Medium9" showRowHeaders="1" showColHeaders="1" showRowStripes="1" showColStripes="1" showLastColumn="1"/>
  <filters count="2">
    <filter fld="20" type="M1" evalOrder="-1" id="4">
      <autoFilter ref="A1">
        <filterColumn colId="0">
          <dynamicFilter type="M1"/>
        </filterColumn>
      </autoFilter>
    </filter>
    <filter fld="1" type="M2" evalOrder="-1" id="3">
      <autoFilter ref="A1">
        <filterColumn colId="0">
          <dynamicFilter type="M2"/>
        </filterColumn>
      </autoFilter>
    </filter>
  </filters>
</pivotTableDefinition>
</file>

<file path=xl/pivotTables/pivotTable9.xml><?xml version="1.0" encoding="utf-8"?>
<pivotTableDefinition xmlns="http://schemas.openxmlformats.org/spreadsheetml/2006/main" name="Tabella_pivot1" cacheId="5" applyNumberFormats="0" applyBorderFormats="0" applyFontFormats="0" applyPatternFormats="0" applyAlignmentFormats="0" applyWidthHeightFormats="1" dataCaption="Valori" updatedVersion="3" minRefreshableVersion="3" showCalcMbrs="0" rowGrandTotals="0" colGrandTotals="0" itemPrintTitles="1" createdVersion="3" indent="0" outline="1" outlineData="1" multipleFieldFilters="0">
  <location ref="A5:E17" firstHeaderRow="1" firstDataRow="2" firstDataCol="2" rowPageCount="3" colPageCount="1"/>
  <pivotFields count="46">
    <pivotField outline="0" showAll="0" defaultSubtotal="0">
      <items count="26">
        <item x="25"/>
        <item x="23"/>
        <item x="22"/>
        <item x="19"/>
        <item x="18"/>
        <item x="17"/>
        <item x="15"/>
        <item x="20"/>
        <item x="24"/>
        <item x="13"/>
        <item x="12"/>
        <item x="3"/>
        <item x="11"/>
        <item x="2"/>
        <item x="10"/>
        <item x="21"/>
        <item x="16"/>
        <item x="14"/>
        <item x="9"/>
        <item x="4"/>
        <item x="1"/>
        <item x="5"/>
        <item x="0"/>
        <item x="8"/>
        <item x="6"/>
        <item x="7"/>
      </items>
    </pivotField>
    <pivotField axis="axisRow" numFmtId="14" showAll="0">
      <items count="19">
        <item x="17"/>
        <item x="16"/>
        <item x="15"/>
        <item x="14"/>
        <item x="13"/>
        <item x="12"/>
        <item x="11"/>
        <item x="10"/>
        <item x="9"/>
        <item x="8"/>
        <item x="2"/>
        <item x="7"/>
        <item x="3"/>
        <item x="1"/>
        <item x="6"/>
        <item x="5"/>
        <item x="4"/>
        <item x="0"/>
        <item t="default"/>
      </items>
    </pivotField>
    <pivotField axis="axisRow" showAll="0">
      <items count="18">
        <item sd="0" x="6"/>
        <item x="1"/>
        <item x="7"/>
        <item x="8"/>
        <item sd="0" x="2"/>
        <item sd="0" x="11"/>
        <item sd="0" x="0"/>
        <item sd="0" x="14"/>
        <item sd="0" x="15"/>
        <item sd="0" x="12"/>
        <item sd="0" x="5"/>
        <item sd="0" x="9"/>
        <item x="10"/>
        <item x="4"/>
        <item x="3"/>
        <item sd="0" x="13"/>
        <item sd="0" x="16"/>
        <item t="default"/>
      </items>
    </pivotField>
    <pivotField showAll="0"/>
    <pivotField showAll="0"/>
    <pivotField showAll="0"/>
    <pivotField showAll="0"/>
    <pivotField showAll="0"/>
    <pivotField showAll="0"/>
    <pivotField numFmtId="170" showAll="0"/>
    <pivotField numFmtId="170" showAll="0"/>
    <pivotField showAll="0"/>
    <pivotField showAll="0"/>
    <pivotField showAll="0"/>
    <pivotField showAll="0"/>
    <pivotField dataField="1" showAll="0"/>
    <pivotField showAll="0"/>
    <pivotField axis="axisPage" multipleItemSelectionAllowed="1" showAll="0">
      <items count="4">
        <item x="2"/>
        <item h="1" x="0"/>
        <item h="1" x="1"/>
        <item t="default"/>
      </items>
    </pivotField>
    <pivotField showAll="0"/>
    <pivotField axis="axisRow" outline="0" showAll="0" defaultSubtotal="0">
      <items count="20">
        <item x="1"/>
        <item x="18"/>
        <item x="16"/>
        <item x="15"/>
        <item x="12"/>
        <item x="11"/>
        <item x="10"/>
        <item x="8"/>
        <item x="13"/>
        <item x="17"/>
        <item x="6"/>
        <item m="1" x="19"/>
        <item x="7"/>
        <item x="4"/>
        <item x="3"/>
        <item x="5"/>
        <item x="2"/>
        <item x="14"/>
        <item x="9"/>
        <item x="0"/>
      </items>
    </pivotField>
    <pivotField showAll="0"/>
    <pivotField axis="axisPage" multipleItemSelectionAllowed="1" showAll="0">
      <items count="4">
        <item x="0"/>
        <item h="1" x="1"/>
        <item h="1" x="2"/>
        <item t="default"/>
      </items>
    </pivotField>
    <pivotField showAll="0"/>
    <pivotField showAll="0">
      <items count="2">
        <item x="0"/>
        <item t="default"/>
      </items>
    </pivotField>
    <pivotField axis="axisPage" multipleItemSelectionAllowed="1" showAll="0">
      <items count="3">
        <item x="0"/>
        <item x="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3">
    <field x="2"/>
    <field x="19"/>
    <field x="1"/>
  </rowFields>
  <rowItems count="11">
    <i>
      <x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5"/>
    </i>
    <i>
      <x v="16"/>
    </i>
  </rowItems>
  <colFields count="1">
    <field x="-2"/>
  </colFields>
  <colItems count="3">
    <i>
      <x/>
    </i>
    <i i="1">
      <x v="1"/>
    </i>
    <i i="2">
      <x v="2"/>
    </i>
  </colItems>
  <pageFields count="3">
    <pageField fld="17" hier="-1"/>
    <pageField fld="21" hier="-1"/>
    <pageField fld="24" hier="-1"/>
  </pageFields>
  <dataFields count="3">
    <dataField name="AMOUNT SOLD" fld="26" baseField="0" baseItem="0" numFmtId="44"/>
    <dataField name="TRANSPORT COST" fld="15" baseField="0" baseItem="0"/>
    <dataField name="EXP. PROFIT" fld="41" baseField="0" baseItem="0" numFmtId="44"/>
  </dataFields>
  <formats count="5">
    <format dxfId="10">
      <pivotArea outline="0" collapsedLevelsAreSubtotals="1" fieldPosition="0"/>
    </format>
    <format dxfId="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pivotTables/pivotTable10.xml><?xml version="1.0" encoding="utf-8"?>
<pivotTableDefinition xmlns="http://schemas.openxmlformats.org/spreadsheetml/2006/main" name="Tabella_pivot2" cacheId="6" applyNumberFormats="0" applyBorderFormats="0" applyFontFormats="0" applyPatternFormats="0" applyAlignmentFormats="0" applyWidthHeightFormats="1" dataCaption="Valori" updatedVersion="3" minRefreshableVersion="3" showCalcMbrs="0" showDrill="0" rowGrandTotals="0" colGrandTotals="0" itemPrintTitles="1" createdVersion="3" indent="0" outline="1" outlineData="1" multipleFieldFilters="0">
  <location ref="A4:T15" firstHeaderRow="1" firstDataRow="2" firstDataCol="2" rowPageCount="1" colPageCount="1"/>
  <pivotFields count="21">
    <pivotField axis="axisCol" numFmtId="1" multipleItemSelectionAllowed="1" showAll="0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3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t="default"/>
      </items>
    </pivotField>
    <pivotField axis="axisRow" showAll="0">
      <items count="72">
        <item x="37"/>
        <item x="38"/>
        <item x="39"/>
        <item x="40"/>
        <item x="24"/>
        <item x="25"/>
        <item x="26"/>
        <item x="27"/>
        <item x="28"/>
        <item x="29"/>
        <item x="32"/>
        <item x="33"/>
        <item x="41"/>
        <item x="67"/>
        <item x="68"/>
        <item x="69"/>
        <item x="34"/>
        <item x="43"/>
        <item x="19"/>
        <item x="46"/>
        <item x="47"/>
        <item x="48"/>
        <item x="49"/>
        <item x="0"/>
        <item x="22"/>
        <item x="1"/>
        <item x="23"/>
        <item x="2"/>
        <item x="54"/>
        <item x="3"/>
        <item x="55"/>
        <item x="70"/>
        <item x="42"/>
        <item x="56"/>
        <item x="4"/>
        <item x="57"/>
        <item x="58"/>
        <item x="5"/>
        <item x="6"/>
        <item x="30"/>
        <item x="31"/>
        <item x="11"/>
        <item x="12"/>
        <item x="13"/>
        <item x="14"/>
        <item x="15"/>
        <item x="16"/>
        <item x="17"/>
        <item x="18"/>
        <item x="60"/>
        <item x="61"/>
        <item x="62"/>
        <item x="63"/>
        <item x="59"/>
        <item x="64"/>
        <item x="65"/>
        <item x="66"/>
        <item x="7"/>
        <item x="8"/>
        <item x="50"/>
        <item x="51"/>
        <item x="52"/>
        <item x="53"/>
        <item x="9"/>
        <item x="35"/>
        <item x="10"/>
        <item x="36"/>
        <item x="20"/>
        <item x="21"/>
        <item x="44"/>
        <item x="45"/>
        <item t="default"/>
      </items>
    </pivotField>
    <pivotField axis="axisRow" outline="0" showAll="0" defaultSubtotal="0">
      <items count="71">
        <item x="61"/>
        <item x="60"/>
        <item x="34"/>
        <item x="37"/>
        <item x="24"/>
        <item x="40"/>
        <item x="27"/>
        <item x="39"/>
        <item x="26"/>
        <item x="38"/>
        <item x="25"/>
        <item x="43"/>
        <item x="41"/>
        <item x="28"/>
        <item x="69"/>
        <item x="33"/>
        <item x="68"/>
        <item x="32"/>
        <item x="67"/>
        <item x="29"/>
        <item x="19"/>
        <item x="64"/>
        <item x="50"/>
        <item x="53"/>
        <item x="52"/>
        <item x="51"/>
        <item x="62"/>
        <item x="63"/>
        <item x="16"/>
        <item x="15"/>
        <item x="12"/>
        <item x="7"/>
        <item x="17"/>
        <item x="18"/>
        <item x="8"/>
        <item x="14"/>
        <item x="13"/>
        <item x="11"/>
        <item x="46"/>
        <item x="0"/>
        <item x="2"/>
        <item x="49"/>
        <item x="23"/>
        <item x="55"/>
        <item x="48"/>
        <item x="1"/>
        <item x="3"/>
        <item x="47"/>
        <item x="22"/>
        <item x="54"/>
        <item x="20"/>
        <item x="21"/>
        <item x="66"/>
        <item x="65"/>
        <item x="59"/>
        <item x="70"/>
        <item x="5"/>
        <item x="56"/>
        <item x="31"/>
        <item x="58"/>
        <item x="42"/>
        <item x="30"/>
        <item x="57"/>
        <item x="6"/>
        <item x="4"/>
        <item x="9"/>
        <item x="35"/>
        <item x="10"/>
        <item x="36"/>
        <item x="44"/>
        <item x="45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9">
        <item h="1" x="6"/>
        <item h="1" x="2"/>
        <item h="1" x="5"/>
        <item h="1" x="3"/>
        <item h="1" x="0"/>
        <item x="1"/>
        <item h="1" x="7"/>
        <item h="1" x="4"/>
        <item t="default"/>
      </items>
    </pivotField>
    <pivotField numFmtId="1" showAll="0"/>
    <pivotField showAll="0" defaultSubtotal="0"/>
    <pivotField showAll="0"/>
    <pivotField showAll="0"/>
    <pivotField showAll="0"/>
    <pivotField showAll="0" defaultSubtotal="0"/>
    <pivotField dragToRow="0" dragToCol="0" dragToPage="0" showAll="0" defaultSubtotal="0"/>
  </pivotFields>
  <rowFields count="2">
    <field x="2"/>
    <field x="1"/>
  </rowFields>
  <rowItems count="10">
    <i>
      <x v="28"/>
      <x v="46"/>
    </i>
    <i>
      <x v="29"/>
      <x v="45"/>
    </i>
    <i>
      <x v="30"/>
      <x v="42"/>
    </i>
    <i>
      <x v="31"/>
      <x v="57"/>
    </i>
    <i>
      <x v="32"/>
      <x v="47"/>
    </i>
    <i>
      <x v="33"/>
      <x v="48"/>
    </i>
    <i>
      <x v="34"/>
      <x v="58"/>
    </i>
    <i>
      <x v="35"/>
      <x v="44"/>
    </i>
    <i>
      <x v="36"/>
      <x v="43"/>
    </i>
    <i>
      <x v="37"/>
      <x v="41"/>
    </i>
  </rowItems>
  <colFields count="1">
    <field x="0"/>
  </colFields>
  <colItems count="18">
    <i>
      <x/>
    </i>
    <i>
      <x v="1"/>
    </i>
    <i>
      <x v="2"/>
    </i>
    <i>
      <x v="4"/>
    </i>
    <i>
      <x v="6"/>
    </i>
    <i>
      <x v="7"/>
    </i>
    <i>
      <x v="8"/>
    </i>
    <i>
      <x v="11"/>
    </i>
    <i>
      <x v="12"/>
    </i>
    <i>
      <x v="13"/>
    </i>
    <i>
      <x v="14"/>
    </i>
    <i>
      <x v="15"/>
    </i>
    <i>
      <x v="17"/>
    </i>
    <i>
      <x v="18"/>
    </i>
    <i>
      <x v="19"/>
    </i>
    <i>
      <x v="22"/>
    </i>
    <i>
      <x v="25"/>
    </i>
    <i>
      <x v="30"/>
    </i>
  </colItems>
  <pageFields count="1">
    <pageField fld="13" hier="-1"/>
  </pageFields>
  <dataFields count="1">
    <dataField name="Somma di qty" fld="3" baseField="0" baseItem="0"/>
  </dataFields>
  <formats count="6">
    <format dxfId="5">
      <pivotArea dataOnly="0" labelOnly="1" fieldPosition="0">
        <references count="1">
          <reference field="0" count="5">
            <x v="10"/>
            <x v="23"/>
            <x v="26"/>
            <x v="27"/>
            <x v="29"/>
          </reference>
        </references>
      </pivotArea>
    </format>
    <format dxfId="4">
      <pivotArea dataOnly="0" labelOnly="1" fieldPosition="0">
        <references count="1">
          <reference field="0" count="5">
            <x v="10"/>
            <x v="23"/>
            <x v="26"/>
            <x v="27"/>
            <x v="29"/>
          </reference>
        </references>
      </pivotArea>
    </format>
    <format dxfId="3">
      <pivotArea outline="0" collapsedLevelsAreSubtotals="1" fieldPosition="0"/>
    </format>
    <format dxfId="2">
      <pivotArea dataOnly="0" labelOnly="1" fieldPosition="0">
        <references count="1">
          <reference field="0" count="18">
            <x v="0"/>
            <x v="1"/>
            <x v="2"/>
            <x v="4"/>
            <x v="6"/>
            <x v="7"/>
            <x v="8"/>
            <x v="11"/>
            <x v="12"/>
            <x v="13"/>
            <x v="14"/>
            <x v="15"/>
            <x v="17"/>
            <x v="18"/>
            <x v="19"/>
            <x v="22"/>
            <x v="25"/>
            <x v="30"/>
          </reference>
        </references>
      </pivotArea>
    </format>
    <format dxfId="1">
      <pivotArea outline="0" collapsedLevelsAreSubtotals="1" fieldPosition="0"/>
    </format>
    <format dxfId="0">
      <pivotArea dataOnly="0" labelOnly="1" fieldPosition="0">
        <references count="1">
          <reference field="0" count="18">
            <x v="0"/>
            <x v="1"/>
            <x v="2"/>
            <x v="4"/>
            <x v="6"/>
            <x v="7"/>
            <x v="8"/>
            <x v="11"/>
            <x v="12"/>
            <x v="13"/>
            <x v="14"/>
            <x v="15"/>
            <x v="17"/>
            <x v="18"/>
            <x v="19"/>
            <x v="22"/>
            <x v="25"/>
            <x v="30"/>
          </reference>
        </references>
      </pivotArea>
    </format>
  </formats>
  <pivotTableStyleInfo name="PivotStyleMedium9" showRowHeaders="1" showColHeaders="1" showRowStripes="1" showColStripes="1" showLastColumn="1"/>
</pivotTableDefinition>
</file>

<file path=xl/tables/table1.xml><?xml version="1.0" encoding="utf-8"?>
<table xmlns="http://schemas.openxmlformats.org/spreadsheetml/2006/main" id="1" name="bhpc_data" displayName="bhpc_data" ref="A1:AR163" totalsRowShown="0" headerRowDxfId="340" dataDxfId="339">
  <autoFilter ref="A1:AR163"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  <filterColumn colId="41"/>
    <filterColumn colId="42"/>
    <filterColumn colId="43"/>
  </autoFilter>
  <tableColumns count="44">
    <tableColumn id="1" name="sku" dataDxfId="338"/>
    <tableColumn id="2" name="category" dataDxfId="337"/>
    <tableColumn id="3" name="nr_of_products" dataDxfId="336"/>
    <tableColumn id="4" name="sex" dataDxfId="335"/>
    <tableColumn id="5" name="ean" dataDxfId="334"/>
    <tableColumn id="6" name="hs_code" dataDxfId="333"/>
    <tableColumn id="7" name="description" dataDxfId="332"/>
    <tableColumn id="8" name="unit" dataDxfId="331"/>
    <tableColumn id="9" name="units_per_carton" dataDxfId="330"/>
    <tableColumn id="10" name="box_per_europallet" dataDxfId="329"/>
    <tableColumn id="11" name="box_per_layer" dataDxfId="328"/>
    <tableColumn id="12" name="layers_per_pallet" dataDxfId="327"/>
    <tableColumn id="13" name="box_per_pallet" dataDxfId="326"/>
    <tableColumn id="14" name="lenght" dataDxfId="325"/>
    <tableColumn id="15" name="width" dataDxfId="324"/>
    <tableColumn id="16" name="height" dataDxfId="323"/>
    <tableColumn id="17" name="net_weight" dataDxfId="322"/>
    <tableColumn id="18" name="gross_weight" dataDxfId="321"/>
    <tableColumn id="19" name="size12" dataDxfId="320"/>
    <tableColumn id="20" name="size22" dataDxfId="319"/>
    <tableColumn id="21" name="size3" dataDxfId="318"/>
    <tableColumn id="22" name="product1_weight" dataDxfId="317"/>
    <tableColumn id="23" name="product2_weight" dataDxfId="316"/>
    <tableColumn id="24" name="product3_weight" dataDxfId="315"/>
    <tableColumn id="25" name="product4_weight" dataDxfId="314"/>
    <tableColumn id="26" name="country_of_origin" dataDxfId="313"/>
    <tableColumn id="27" name="normal_boxes" dataDxfId="312"/>
    <tableColumn id="28" name="testers_boxes" dataDxfId="311"/>
    <tableColumn id="29" name="unit_net_weight" dataDxfId="310"/>
    <tableColumn id="30" name="unit_net_weight2" dataDxfId="309"/>
    <tableColumn id="31" name="unit_gross_weight" dataDxfId="308"/>
    <tableColumn id="32" name="unit_gross_weight2" dataDxfId="307"/>
    <tableColumn id="33" name="cbm" dataDxfId="306"/>
    <tableColumn id="34" name="cbm2" dataDxfId="305"/>
    <tableColumn id="35" name="order" dataDxfId="304"/>
    <tableColumn id="36" name="foc_order" dataDxfId="303"/>
    <tableColumn id="37" name="tot_order" dataDxfId="302"/>
    <tableColumn id="38" name="33030010" dataDxfId="301">
      <calculatedColumnFormula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calculatedColumnFormula>
    </tableColumn>
    <tableColumn id="39" name="33072000" dataDxfId="300">
      <calculatedColumnFormula>IFERROR(bhpc_data[[#This Row],[net_weight]]*bhpc_data[[#This Row],[product2_weight]]/bhpc_data[[#This Row],[units_per_carton]]*bhpc_data[[#This Row],[tot_order]],"")</calculatedColumnFormula>
    </tableColumn>
    <tableColumn id="40" name="33030090" dataDxfId="299">
      <calculatedColumnFormula>IF(bhpc_data[[#This Row],[hs_code]]="","",IF(bhpc_data[[#This Row],[hs_code]]="33030090",bhpc_data[[#This Row],[tot_order]]/bhpc_data[[#This Row],[units_per_carton]]*bhpc_data[[#This Row],[net_weight]],0))</calculatedColumnFormula>
    </tableColumn>
    <tableColumn id="41" name="pallet_euro" dataDxfId="298">
      <calculatedColumnFormula>IFERROR(bhpc_data[[#This Row],[tot_order]]/bhpc_data[[#This Row],[units_per_carton]]/bhpc_data[[#This Row],[box_per_europallet]],"")</calculatedColumnFormula>
    </tableColumn>
    <tableColumn id="42" name="pallet" dataDxfId="297">
      <calculatedColumnFormula>IFERROR(bhpc_data[[#This Row],[tot_order]]/bhpc_data[[#This Row],[units_per_carton]]/bhpc_data[[#This Row],[box_per_pallet]],"")</calculatedColumnFormula>
    </tableColumn>
    <tableColumn id="43" name="pallet_euro_rounded" dataDxfId="296">
      <calculatedColumnFormula>IFERROR(ROUNDUP(bhpc_data[[#This Row],[pallet_euro]],0),"")</calculatedColumnFormula>
    </tableColumn>
    <tableColumn id="44" name="pallet_rounded" dataDxfId="295">
      <calculatedColumnFormula>IFERROR(ROUNDUP(bhpc_data[[#This Row],[pallet]],0),"")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clientData" displayName="clientData" ref="A1:T52" totalsRowShown="0" headerRowDxfId="294" dataDxfId="293">
  <autoFilter ref="A1:T52"/>
  <sortState ref="A2:T52">
    <sortCondition ref="A1:A52"/>
  </sortState>
  <tableColumns count="20">
    <tableColumn id="1" name="cod_cliente" dataDxfId="292"/>
    <tableColumn id="2" name="country" dataDxfId="291"/>
    <tableColumn id="3" name="payment_account" dataDxfId="290"/>
    <tableColumn id="4" name="company_name1"/>
    <tableColumn id="5" name="company_name2"/>
    <tableColumn id="6" name="logistic_address1"/>
    <tableColumn id="7" name="logistic_address2"/>
    <tableColumn id="8" name="logistic_address3" dataDxfId="289"/>
    <tableColumn id="18" name="logistic_address4" dataDxfId="288"/>
    <tableColumn id="19" name="place_of_discharge" dataDxfId="287"/>
    <tableColumn id="15" name="hq_address1" dataDxfId="286"/>
    <tableColumn id="16" name="hq_address2" dataDxfId="285"/>
    <tableColumn id="17" name="hq_address3" dataDxfId="284"/>
    <tableColumn id="9" name="vat_no" dataDxfId="283"/>
    <tableColumn id="10" name="payment_method" dataDxfId="282"/>
    <tableColumn id="11" name="incoterms"/>
    <tableColumn id="12" name="currency" dataDxfId="281"/>
    <tableColumn id="13" name="vat_code" dataDxfId="280"/>
    <tableColumn id="14" name="legal_references" dataDxfId="279"/>
    <tableColumn id="20" name="notes" dataDxfId="27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salesHistory" displayName="salesHistory" ref="A1:U380" totalsRowShown="0" headerRowDxfId="277" dataDxfId="276">
  <autoFilter ref="A1:U380">
    <filterColumn colId="9"/>
    <filterColumn colId="12"/>
    <filterColumn colId="13"/>
    <filterColumn colId="14"/>
    <filterColumn colId="15"/>
    <filterColumn colId="16"/>
    <filterColumn colId="17"/>
    <filterColumn colId="18"/>
    <filterColumn colId="19"/>
    <filterColumn colId="20"/>
  </autoFilter>
  <tableColumns count="21">
    <tableColumn id="1" name="order_no" dataDxfId="275"/>
    <tableColumn id="4" name="sku" dataDxfId="274"/>
    <tableColumn id="7" name="description" dataDxfId="273"/>
    <tableColumn id="5" name="qty" dataDxfId="272"/>
    <tableColumn id="6" name="price" dataDxfId="271"/>
    <tableColumn id="3" name="disc_qty" dataDxfId="270"/>
    <tableColumn id="8" name="disc_price" dataDxfId="269"/>
    <tableColumn id="11" name="foc_qty" dataDxfId="268"/>
    <tableColumn id="10" name="cts" dataDxfId="267"/>
    <tableColumn id="17" name="cts_disc" dataDxfId="266"/>
    <tableColumn id="2" name="cts_foc" dataDxfId="265"/>
    <tableColumn id="9" name="net_weight" dataDxfId="264"/>
    <tableColumn id="12" name="gross_weight" dataDxfId="263"/>
    <tableColumn id="13" name="cbm" dataDxfId="262"/>
    <tableColumn id="14" name="category" dataDxfId="261"/>
    <tableColumn id="15" name="size" dataDxfId="260"/>
    <tableColumn id="16" name="hs_code" dataDxfId="259"/>
    <tableColumn id="18" name="cost_price" dataDxfId="258"/>
    <tableColumn id="20" name="cost" dataDxfId="257"/>
    <tableColumn id="21" name="tot_invoice" dataDxfId="256"/>
    <tableColumn id="19" name="order_type" dataDxfId="255">
      <calculatedColumnFormula>IFERROR(VLOOKUP(salesHistory[[#This Row],[order_no]],orderHistory[],22,FALSE),"")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3" name="orderHistory" displayName="orderHistory" ref="A1:AP47" totalsRowShown="0" headerRowDxfId="254">
  <autoFilter ref="A1:AP47">
    <filterColumn colId="17"/>
    <filterColumn colId="18"/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8"/>
    <filterColumn colId="29"/>
    <filterColumn colId="30"/>
    <filterColumn colId="31"/>
    <filterColumn colId="32"/>
    <filterColumn colId="33"/>
    <filterColumn colId="34"/>
    <filterColumn colId="35"/>
    <filterColumn colId="36"/>
    <filterColumn colId="37"/>
    <filterColumn colId="38"/>
    <filterColumn colId="39"/>
    <filterColumn colId="40"/>
    <filterColumn colId="41"/>
  </autoFilter>
  <sortState ref="A2:AP47">
    <sortCondition descending="1" ref="T1:T1048576"/>
  </sortState>
  <tableColumns count="42">
    <tableColumn id="1" name="order_no" dataDxfId="253"/>
    <tableColumn id="2" name="order_date" dataDxfId="252"/>
    <tableColumn id="3" name="customer" dataDxfId="251"/>
    <tableColumn id="4" name="currency" dataDxfId="250"/>
    <tableColumn id="5" name="exchange_rate" dataDxfId="249"/>
    <tableColumn id="6" name="carton_no" dataDxfId="248"/>
    <tableColumn id="7" name="incoterms" dataDxfId="247"/>
    <tableColumn id="8" name="pallet_type" dataDxfId="246"/>
    <tableColumn id="9" name="pallet_no" dataDxfId="245"/>
    <tableColumn id="30" name="pallet_cost" dataDxfId="244"/>
    <tableColumn id="31" name="pallet_mov_cost" dataDxfId="243"/>
    <tableColumn id="24" name="net_weight" dataDxfId="242"/>
    <tableColumn id="23" name="gross_weight" dataDxfId="241"/>
    <tableColumn id="10" name="logistic_notes" dataDxfId="240"/>
    <tableColumn id="11" name="carrier_name" dataDxfId="239"/>
    <tableColumn id="12" name="carrier_cost" dataDxfId="238"/>
    <tableColumn id="25" name="on_bhpc_behalf" dataDxfId="237"/>
    <tableColumn id="13" name="status" dataDxfId="236"/>
    <tableColumn id="14" name="sub_status" dataDxfId="235"/>
    <tableColumn id="15" name="invoice_no" dataDxfId="234"/>
    <tableColumn id="16" name="invoice_date" dataDxfId="233"/>
    <tableColumn id="37" name="order_type" dataDxfId="232"/>
    <tableColumn id="17" name="payment_type" dataDxfId="231"/>
    <tableColumn id="18" name="payment_date" dataDxfId="230"/>
    <tableColumn id="19" name="payed" dataDxfId="229"/>
    <tableColumn id="20" name="cost_of_goods" dataDxfId="228"/>
    <tableColumn id="21" name="inv_amount" dataDxfId="227"/>
    <tableColumn id="22" name="profit" dataDxfId="226"/>
    <tableColumn id="26" name="labour_hours" dataDxfId="225"/>
    <tableColumn id="27" name="labour_cost_per_hour" dataDxfId="224"/>
    <tableColumn id="28" name="labour_cost_desc" dataDxfId="223"/>
    <tableColumn id="29" name="other_hours" dataDxfId="222"/>
    <tableColumn id="32" name="other_cost_per_hour" dataDxfId="221"/>
    <tableColumn id="33" name="other_cost_desc" dataDxfId="220"/>
    <tableColumn id="34" name="order_notes" dataDxfId="219"/>
    <tableColumn id="35" name="shipping_method" dataDxfId="218"/>
    <tableColumn id="36" name="accountable" dataDxfId="217"/>
    <tableColumn id="38" name="vessel_name" dataDxfId="216"/>
    <tableColumn id="39" name="container_no" dataDxfId="215"/>
    <tableColumn id="40" name="container_type" dataDxfId="214"/>
    <tableColumn id="41" name="seal_no" dataDxfId="213"/>
    <tableColumn id="42" name="pickup_date" dataDxfId="21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orderHistory7" displayName="orderHistory7" ref="A2:AE3" totalsRowShown="0" headerRowDxfId="211">
  <autoFilter ref="A2:AE3"/>
  <sortState ref="A3:AA8">
    <sortCondition descending="1" ref="B1:B1048576"/>
  </sortState>
  <tableColumns count="31">
    <tableColumn id="1" name="order_id" dataDxfId="210"/>
    <tableColumn id="2" name="order_date" dataDxfId="209"/>
    <tableColumn id="3" name="customer" dataDxfId="208"/>
    <tableColumn id="4" name="currency" dataDxfId="207"/>
    <tableColumn id="5" name="exchange_rate" dataDxfId="206"/>
    <tableColumn id="6" name="carton_no" dataDxfId="205"/>
    <tableColumn id="7" name="incoterms" dataDxfId="204"/>
    <tableColumn id="8" name="pallet_type" dataDxfId="203"/>
    <tableColumn id="9" name="pallet_no" dataDxfId="202"/>
    <tableColumn id="30" name="pallet_cost" dataDxfId="201"/>
    <tableColumn id="31" name="pallet_mov_cost" dataDxfId="200"/>
    <tableColumn id="24" name="net_weight" dataDxfId="199"/>
    <tableColumn id="23" name="gross_weight" dataDxfId="198"/>
    <tableColumn id="10" name="logistic_notes" dataDxfId="197"/>
    <tableColumn id="11" name="carrier_name" dataDxfId="196"/>
    <tableColumn id="12" name="carrier_cost" dataDxfId="195"/>
    <tableColumn id="25" name="on_bhpc_behalf" dataDxfId="194"/>
    <tableColumn id="20" name="status" dataDxfId="193"/>
    <tableColumn id="14" name="invoice_no" dataDxfId="192"/>
    <tableColumn id="15" name="invoice_date" dataDxfId="191"/>
    <tableColumn id="16" name="payment_type"/>
    <tableColumn id="17" name="payment_date" dataDxfId="190"/>
    <tableColumn id="22" name="payed" dataDxfId="189"/>
    <tableColumn id="21" name="cost_of_goods" dataDxfId="188"/>
    <tableColumn id="18" name="amount_sold" dataDxfId="187"/>
    <tableColumn id="19" name="profit" dataDxfId="186">
      <calculatedColumnFormula>orderHistory7[[#This Row],[amount_sold]]-orderHistory7[[#This Row],[cost_of_goods]]</calculatedColumnFormula>
    </tableColumn>
    <tableColumn id="26" name="labor_costs" dataDxfId="185"/>
    <tableColumn id="28" name="labor_costs_desc" dataDxfId="184"/>
    <tableColumn id="27" name="other_costs" dataDxfId="183"/>
    <tableColumn id="29" name="other_costs_desc" dataDxfId="182"/>
    <tableColumn id="13" name="order_notes" dataDxfId="181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inventory" displayName="inventory" ref="A1:F112" totalsRowShown="0">
  <autoFilter ref="A1:F112"/>
  <tableColumns count="6">
    <tableColumn id="1" name="ARTICOLO"/>
    <tableColumn id="2" name="DESCRIZIONE"/>
    <tableColumn id="3" name="U.M."/>
    <tableColumn id="4" name="ESISTENZA" dataDxfId="180"/>
    <tableColumn id="5" name="COSTO UNITARIO" dataDxfId="179"/>
    <tableColumn id="6" name="COSTO GLOBALE" dataDxfId="17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8" name="carriers" displayName="carriers" ref="A1:I8" totalsRowShown="0" headerRowDxfId="177">
  <autoFilter ref="A1:I8">
    <filterColumn colId="1"/>
    <filterColumn colId="7"/>
    <filterColumn colId="8"/>
  </autoFilter>
  <tableColumns count="9">
    <tableColumn id="1" name="CARRIER_CODE"/>
    <tableColumn id="7" name="CARRIER_NAME"/>
    <tableColumn id="2" name="ADDRESS LINE 1"/>
    <tableColumn id="3" name="ADDRESS LINE 2"/>
    <tableColumn id="4" name="ADDRESS LINE 3"/>
    <tableColumn id="5" name="ADDRESS LINE 4"/>
    <tableColumn id="6" name="VAT NO" dataDxfId="176"/>
    <tableColumn id="8" name="TEL" dataDxfId="175"/>
    <tableColumn id="9" name="TEL2" dataDxfId="17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2" name="warehouse" displayName="warehouse" ref="EE9:EJ160" totalsRowShown="0" headerRowDxfId="152" dataDxfId="150" headerRowBorderDxfId="151" tableBorderDxfId="149">
  <autoFilter ref="EE9:EJ160"/>
  <tableColumns count="6">
    <tableColumn id="1" name="SKU" dataDxfId="148"/>
    <tableColumn id="2" name="Description" dataDxfId="147">
      <calculatedColumnFormula>VLOOKUP(EE10,bhpc_data[],7,FALSE)</calculatedColumnFormula>
    </tableColumn>
    <tableColumn id="3" name="T-1" dataDxfId="146">
      <calculatedColumnFormula>IFERROR(VLOOKUP(EE10,inventory[],4,FALSE),0)</calculatedColumnFormula>
    </tableColumn>
    <tableColumn id="4" name="SUPPLY" dataDxfId="145">
      <calculatedColumnFormula>IFERROR(VLOOKUP(warehouse[[#This Row],[SKU]],$EQ$10:$ES$38,3,FALSE),0)</calculatedColumnFormula>
    </tableColumn>
    <tableColumn id="5" name="SALE + SAMPLING" dataDxfId="144">
      <calculatedColumnFormula>IFERROR(VLOOKUP(warehouse[[#This Row],[SKU]],$EM$10:$EO$61,3,FALSE),0)</calculatedColumnFormula>
    </tableColumn>
    <tableColumn id="6" name="STOCK TO DATE" dataDxfId="143">
      <calculatedColumnFormula>warehouse[[#This Row],[T-1]]+warehouse[[#This Row],[SUPPLY]]-warehouse[[#This Row],[SALE + SAMPLING]]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comments" Target="../comments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8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7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6"/>
  <dimension ref="A1:AV163"/>
  <sheetViews>
    <sheetView zoomScale="90" zoomScaleNormal="90" workbookViewId="0">
      <pane ySplit="1" topLeftCell="A14" activePane="bottomLeft" state="frozen"/>
      <selection activeCell="B56" sqref="B56:P59"/>
      <selection pane="bottomLeft" activeCell="B56" sqref="B56:P59"/>
    </sheetView>
  </sheetViews>
  <sheetFormatPr defaultColWidth="9.140625" defaultRowHeight="12.75"/>
  <cols>
    <col min="1" max="1" width="8.42578125" style="77" bestFit="1" customWidth="1"/>
    <col min="2" max="2" width="14" style="77" customWidth="1"/>
    <col min="3" max="3" width="16.42578125" style="77" customWidth="1"/>
    <col min="4" max="4" width="8.42578125" style="77" bestFit="1" customWidth="1"/>
    <col min="5" max="5" width="15.85546875" style="81" customWidth="1"/>
    <col min="6" max="6" width="19.7109375" style="591" bestFit="1" customWidth="1"/>
    <col min="7" max="7" width="67.28515625" style="77" bestFit="1" customWidth="1"/>
    <col min="8" max="8" width="8.7109375" style="78" bestFit="1" customWidth="1"/>
    <col min="9" max="9" width="18.140625" style="559" customWidth="1"/>
    <col min="10" max="10" width="19.85546875" style="559" customWidth="1"/>
    <col min="11" max="11" width="16.140625" style="559" customWidth="1"/>
    <col min="12" max="12" width="18.7109375" style="559" customWidth="1"/>
    <col min="13" max="13" width="17" style="566" customWidth="1"/>
    <col min="14" max="14" width="8.85546875" style="77" customWidth="1"/>
    <col min="15" max="15" width="8.140625" style="77" customWidth="1"/>
    <col min="16" max="16" width="8.85546875" style="77" customWidth="1"/>
    <col min="17" max="17" width="13.140625" style="77" customWidth="1"/>
    <col min="18" max="18" width="15" style="77" customWidth="1"/>
    <col min="19" max="21" width="7.7109375" style="77" customWidth="1"/>
    <col min="22" max="22" width="17.85546875" style="77" customWidth="1"/>
    <col min="23" max="23" width="19.5703125" style="77" customWidth="1"/>
    <col min="24" max="24" width="15.5703125" style="77" customWidth="1"/>
    <col min="25" max="25" width="18.42578125" style="77" customWidth="1"/>
    <col min="26" max="26" width="19.5703125" style="78" customWidth="1"/>
    <col min="27" max="27" width="16.28515625" style="77" customWidth="1"/>
    <col min="28" max="28" width="16.42578125" style="77" customWidth="1"/>
    <col min="29" max="30" width="18" style="77" customWidth="1"/>
    <col min="31" max="32" width="20.42578125" style="77" customWidth="1"/>
    <col min="33" max="33" width="14.5703125" style="77" bestFit="1" customWidth="1"/>
    <col min="34" max="34" width="14.5703125" style="77" customWidth="1"/>
    <col min="35" max="35" width="9.140625" style="77"/>
    <col min="36" max="36" width="12.140625" style="77" customWidth="1"/>
    <col min="37" max="37" width="11.7109375" style="77" customWidth="1"/>
    <col min="38" max="40" width="11" style="77" customWidth="1"/>
    <col min="41" max="42" width="12.42578125" style="569" customWidth="1"/>
    <col min="43" max="43" width="21.5703125" style="78" customWidth="1"/>
    <col min="44" max="44" width="16.42578125" style="78" customWidth="1"/>
    <col min="45" max="47" width="9.140625" style="77"/>
    <col min="48" max="48" width="12.5703125" style="77" customWidth="1"/>
    <col min="49" max="16384" width="9.140625" style="77"/>
  </cols>
  <sheetData>
    <row r="1" spans="1:48" s="82" customFormat="1" ht="28.5" customHeight="1" thickBot="1">
      <c r="A1" s="82" t="s">
        <v>0</v>
      </c>
      <c r="B1" s="82" t="s">
        <v>1</v>
      </c>
      <c r="C1" s="82" t="s">
        <v>2</v>
      </c>
      <c r="D1" s="82" t="s">
        <v>3</v>
      </c>
      <c r="E1" s="82" t="s">
        <v>4</v>
      </c>
      <c r="F1" s="590" t="s">
        <v>5</v>
      </c>
      <c r="G1" s="82" t="s">
        <v>6</v>
      </c>
      <c r="H1" s="82" t="s">
        <v>7</v>
      </c>
      <c r="I1" s="561" t="s">
        <v>8</v>
      </c>
      <c r="J1" s="561" t="s">
        <v>1168</v>
      </c>
      <c r="K1" s="561" t="s">
        <v>10</v>
      </c>
      <c r="L1" s="561" t="s">
        <v>11</v>
      </c>
      <c r="M1" s="561" t="s">
        <v>9</v>
      </c>
      <c r="N1" s="82" t="s">
        <v>12</v>
      </c>
      <c r="O1" s="82" t="s">
        <v>13</v>
      </c>
      <c r="P1" s="82" t="s">
        <v>14</v>
      </c>
      <c r="Q1" s="82" t="s">
        <v>15</v>
      </c>
      <c r="R1" s="82" t="s">
        <v>16</v>
      </c>
      <c r="S1" s="82" t="s">
        <v>17</v>
      </c>
      <c r="T1" s="82" t="s">
        <v>18</v>
      </c>
      <c r="U1" s="82" t="s">
        <v>19</v>
      </c>
      <c r="V1" s="82" t="s">
        <v>20</v>
      </c>
      <c r="W1" s="82" t="s">
        <v>21</v>
      </c>
      <c r="X1" s="82" t="s">
        <v>22</v>
      </c>
      <c r="Y1" s="82" t="s">
        <v>23</v>
      </c>
      <c r="Z1" s="82" t="s">
        <v>24</v>
      </c>
      <c r="AA1" s="354" t="s">
        <v>25</v>
      </c>
      <c r="AB1" s="354" t="s">
        <v>26</v>
      </c>
      <c r="AC1" s="355" t="s">
        <v>27</v>
      </c>
      <c r="AD1" s="355" t="s">
        <v>28</v>
      </c>
      <c r="AE1" s="355" t="s">
        <v>29</v>
      </c>
      <c r="AF1" s="355" t="s">
        <v>30</v>
      </c>
      <c r="AG1" s="355" t="s">
        <v>31</v>
      </c>
      <c r="AH1" s="355" t="s">
        <v>32</v>
      </c>
      <c r="AI1" s="356" t="s">
        <v>33</v>
      </c>
      <c r="AJ1" s="356" t="s">
        <v>34</v>
      </c>
      <c r="AK1" s="357" t="s">
        <v>35</v>
      </c>
      <c r="AL1" s="82" t="s">
        <v>75</v>
      </c>
      <c r="AM1" s="82" t="s">
        <v>171</v>
      </c>
      <c r="AN1" s="82" t="s">
        <v>190</v>
      </c>
      <c r="AO1" s="582" t="s">
        <v>1166</v>
      </c>
      <c r="AP1" s="582" t="s">
        <v>1167</v>
      </c>
      <c r="AQ1" s="82" t="s">
        <v>1172</v>
      </c>
      <c r="AR1" s="82" t="s">
        <v>1173</v>
      </c>
      <c r="AT1" s="82" t="str">
        <f>IFERROR(bhpc_data[[#This Row],[net_weight]]*bhpc_data[[#This Row],[product1_weight]]/bhpc_data[[#This Row],[units_per_carton]]*bhpc_data[[#This Row],[tot_order]],"")</f>
        <v/>
      </c>
      <c r="AV1" s="82" t="s">
        <v>861</v>
      </c>
    </row>
    <row r="2" spans="1:48" ht="13.5" thickTop="1">
      <c r="A2" s="77" t="s">
        <v>92</v>
      </c>
      <c r="B2" s="77" t="s">
        <v>37</v>
      </c>
      <c r="C2" s="77">
        <v>2</v>
      </c>
      <c r="D2" s="77" t="s">
        <v>38</v>
      </c>
      <c r="E2" s="79">
        <v>6291107160993</v>
      </c>
      <c r="G2" s="77" t="s">
        <v>93</v>
      </c>
      <c r="H2" s="78" t="s">
        <v>40</v>
      </c>
      <c r="I2" s="559">
        <v>12</v>
      </c>
      <c r="J2" s="559">
        <v>48</v>
      </c>
      <c r="K2" s="559">
        <v>8</v>
      </c>
      <c r="L2" s="559">
        <v>6</v>
      </c>
      <c r="M2" s="567">
        <v>48</v>
      </c>
      <c r="N2" s="77">
        <v>472</v>
      </c>
      <c r="O2" s="77">
        <v>344</v>
      </c>
      <c r="P2" s="77">
        <v>201</v>
      </c>
      <c r="Q2" s="77">
        <v>5.85</v>
      </c>
      <c r="R2" s="77">
        <v>6.6</v>
      </c>
      <c r="S2" s="77">
        <v>100</v>
      </c>
      <c r="T2" s="77">
        <v>175</v>
      </c>
      <c r="U2" s="77">
        <v>0</v>
      </c>
      <c r="V2" s="77">
        <v>0.55000000000000004</v>
      </c>
      <c r="W2" s="77">
        <v>0.45</v>
      </c>
      <c r="X2" s="77">
        <v>0</v>
      </c>
      <c r="Y2" s="77">
        <v>0</v>
      </c>
      <c r="Z2" s="78" t="s">
        <v>41</v>
      </c>
      <c r="AA2" s="348">
        <f>ROUNDUP(bhpc_data!$AI2/bhpc_data[[#This Row],[units_per_carton]],0)</f>
        <v>0</v>
      </c>
      <c r="AB2" s="348">
        <f>bhpc_data!$AJ2/bhpc_data[[#This Row],[units_per_carton]]</f>
        <v>0</v>
      </c>
      <c r="AC2" s="348">
        <f>(bhpc_data[[#This Row],[net_weight]]/bhpc_data[[#This Row],[units_per_carton]])*bhpc_data!$AK2*bhpc_data[[#This Row],[product1_weight]]</f>
        <v>0</v>
      </c>
      <c r="AD2" s="348">
        <f>(bhpc_data[[#This Row],[net_weight]]/bhpc_data[[#This Row],[units_per_carton]])*bhpc_data!$AK2*bhpc_data[[#This Row],[product2_weight]]</f>
        <v>0</v>
      </c>
      <c r="AE2" s="348">
        <f>(bhpc_data[[#This Row],[gross_weight]]/bhpc_data[[#This Row],[units_per_carton]])*bhpc_data!$AK2*bhpc_data[[#This Row],[product1_weight]]</f>
        <v>0</v>
      </c>
      <c r="AF2" s="348">
        <f>(bhpc_data[[#This Row],[gross_weight]]/bhpc_data[[#This Row],[units_per_carton]])*bhpc_data!$AK2*bhpc_data[[#This Row],[product2_weight]]</f>
        <v>0</v>
      </c>
      <c r="AG2" s="348">
        <f>(bhpc_data[[#This Row],[lenght]]*bhpc_data[[#This Row],[width]]*bhpc_data[[#This Row],[height]])/1000000000*bhpc_data!$AK2/bhpc_data[[#This Row],[units_per_carton]]*bhpc_data[[#This Row],[product1_weight]]</f>
        <v>0</v>
      </c>
      <c r="AH2" s="348">
        <f>(bhpc_data[[#This Row],[lenght]]*bhpc_data[[#This Row],[width]]*bhpc_data[[#This Row],[height]])/1000000000*bhpc_data!$AK2/bhpc_data[[#This Row],[units_per_carton]]*bhpc_data[[#This Row],[product2_weight]]</f>
        <v>0</v>
      </c>
      <c r="AI2" s="349">
        <f>SUMIF(productsSku,bhpc_data[[#This Row],[sku]],productsQty)+SUMIF(productsSku,bhpc_data[[#This Row],[sku]],productsDiscQty)</f>
        <v>0</v>
      </c>
      <c r="AJ2" s="349">
        <f>SUMIF(productsSku,bhpc_data[[#This Row],[sku]],productsFocQty)</f>
        <v>0</v>
      </c>
      <c r="AK2" s="350">
        <f>bhpc_data!$AI2+bhpc_data!$AJ2</f>
        <v>0</v>
      </c>
      <c r="AL2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" s="551" t="str">
        <f>IF(bhpc_data[[#This Row],[hs_code]]="","",IF(bhpc_data[[#This Row],[hs_code]]="33030090",bhpc_data[[#This Row],[tot_order]]/bhpc_data[[#This Row],[units_per_carton]]*bhpc_data[[#This Row],[net_weight]],0))</f>
        <v/>
      </c>
      <c r="AO2" s="568">
        <f>IFERROR(bhpc_data[[#This Row],[tot_order]]/bhpc_data[[#This Row],[units_per_carton]]/bhpc_data[[#This Row],[box_per_europallet]],"")</f>
        <v>0</v>
      </c>
      <c r="AP2" s="568">
        <f>IFERROR(bhpc_data[[#This Row],[tot_order]]/bhpc_data[[#This Row],[units_per_carton]]/bhpc_data[[#This Row],[box_per_pallet]],"")</f>
        <v>0</v>
      </c>
      <c r="AQ2" s="581">
        <f>IFERROR(ROUNDUP(bhpc_data[[#This Row],[pallet_euro]],0),"")</f>
        <v>0</v>
      </c>
      <c r="AR2" s="581">
        <f>IFERROR(ROUNDUP(bhpc_data[[#This Row],[pallet]],0),"")</f>
        <v>0</v>
      </c>
      <c r="AV2" s="77" t="s">
        <v>180</v>
      </c>
    </row>
    <row r="3" spans="1:48">
      <c r="A3" s="77" t="s">
        <v>94</v>
      </c>
      <c r="B3" s="77" t="s">
        <v>37</v>
      </c>
      <c r="C3" s="77">
        <v>2</v>
      </c>
      <c r="D3" s="77" t="s">
        <v>38</v>
      </c>
      <c r="E3" s="79">
        <v>6291107161006</v>
      </c>
      <c r="G3" s="77" t="s">
        <v>95</v>
      </c>
      <c r="H3" s="78" t="s">
        <v>40</v>
      </c>
      <c r="I3" s="559">
        <v>12</v>
      </c>
      <c r="J3" s="559">
        <v>48</v>
      </c>
      <c r="K3" s="559">
        <v>8</v>
      </c>
      <c r="L3" s="559">
        <v>6</v>
      </c>
      <c r="M3" s="567">
        <v>48</v>
      </c>
      <c r="N3" s="77">
        <v>472</v>
      </c>
      <c r="O3" s="77">
        <v>344</v>
      </c>
      <c r="P3" s="77">
        <v>201</v>
      </c>
      <c r="Q3" s="77">
        <v>5.85</v>
      </c>
      <c r="R3" s="77">
        <v>6.6</v>
      </c>
      <c r="S3" s="77">
        <v>100</v>
      </c>
      <c r="T3" s="77">
        <v>175</v>
      </c>
      <c r="U3" s="77">
        <v>0</v>
      </c>
      <c r="V3" s="77">
        <v>0.55000000000000004</v>
      </c>
      <c r="W3" s="77">
        <v>0.45</v>
      </c>
      <c r="X3" s="77">
        <v>0</v>
      </c>
      <c r="Y3" s="77">
        <v>0</v>
      </c>
      <c r="Z3" s="78" t="s">
        <v>41</v>
      </c>
      <c r="AA3" s="351">
        <f>ROUNDUP(bhpc_data!$AI3/bhpc_data[[#This Row],[units_per_carton]],0)</f>
        <v>0</v>
      </c>
      <c r="AB3" s="351">
        <f>bhpc_data!$AJ3/bhpc_data[[#This Row],[units_per_carton]]</f>
        <v>0</v>
      </c>
      <c r="AC3" s="351">
        <f>(bhpc_data[[#This Row],[net_weight]]/bhpc_data[[#This Row],[units_per_carton]])*bhpc_data!$AK3*bhpc_data[[#This Row],[product1_weight]]</f>
        <v>0</v>
      </c>
      <c r="AD3" s="351">
        <f>(bhpc_data[[#This Row],[net_weight]]/bhpc_data[[#This Row],[units_per_carton]])*bhpc_data!$AK3*bhpc_data[[#This Row],[product2_weight]]</f>
        <v>0</v>
      </c>
      <c r="AE3" s="351">
        <f>(bhpc_data[[#This Row],[gross_weight]]/bhpc_data[[#This Row],[units_per_carton]])*bhpc_data!$AK3*bhpc_data[[#This Row],[product1_weight]]</f>
        <v>0</v>
      </c>
      <c r="AF3" s="351">
        <f>(bhpc_data[[#This Row],[gross_weight]]/bhpc_data[[#This Row],[units_per_carton]])*bhpc_data!$AK3*bhpc_data[[#This Row],[product2_weight]]</f>
        <v>0</v>
      </c>
      <c r="AG3" s="351">
        <f>(bhpc_data[[#This Row],[lenght]]*bhpc_data[[#This Row],[width]]*bhpc_data[[#This Row],[height]])/1000000000*bhpc_data!$AK3/bhpc_data[[#This Row],[units_per_carton]]*bhpc_data[[#This Row],[product1_weight]]</f>
        <v>0</v>
      </c>
      <c r="AH3" s="351">
        <f>(bhpc_data[[#This Row],[lenght]]*bhpc_data[[#This Row],[width]]*bhpc_data[[#This Row],[height]])/1000000000*bhpc_data!$AK3/bhpc_data[[#This Row],[units_per_carton]]*bhpc_data[[#This Row],[product2_weight]]</f>
        <v>0</v>
      </c>
      <c r="AI3" s="352">
        <f>SUMIF(productsSku,bhpc_data[[#This Row],[sku]],productsQty)+SUMIF(productsSku,bhpc_data[[#This Row],[sku]],productsDiscQty)</f>
        <v>0</v>
      </c>
      <c r="AJ3" s="352">
        <f>SUMIF(productsSku,bhpc_data[[#This Row],[sku]],productsFocQty)</f>
        <v>0</v>
      </c>
      <c r="AK3" s="353">
        <f>bhpc_data!$AI3+bhpc_data!$AJ3</f>
        <v>0</v>
      </c>
      <c r="AL3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3" s="551" t="str">
        <f>IF(bhpc_data[[#This Row],[hs_code]]="","",IF(bhpc_data[[#This Row],[hs_code]]="33030090",bhpc_data[[#This Row],[tot_order]]/bhpc_data[[#This Row],[units_per_carton]]*bhpc_data[[#This Row],[net_weight]],0))</f>
        <v/>
      </c>
      <c r="AO3" s="568">
        <f>IFERROR(bhpc_data[[#This Row],[tot_order]]/bhpc_data[[#This Row],[units_per_carton]]/bhpc_data[[#This Row],[box_per_europallet]],"")</f>
        <v>0</v>
      </c>
      <c r="AP3" s="568">
        <f>IFERROR(bhpc_data[[#This Row],[tot_order]]/bhpc_data[[#This Row],[units_per_carton]]/bhpc_data[[#This Row],[box_per_pallet]],"")</f>
        <v>0</v>
      </c>
      <c r="AQ3" s="581">
        <f>IFERROR(ROUNDUP(bhpc_data[[#This Row],[pallet_euro]],0),"")</f>
        <v>0</v>
      </c>
      <c r="AR3" s="581">
        <f>IFERROR(ROUNDUP(bhpc_data[[#This Row],[pallet]],0),"")</f>
        <v>0</v>
      </c>
      <c r="AV3" s="77" t="s">
        <v>182</v>
      </c>
    </row>
    <row r="4" spans="1:48">
      <c r="A4" s="77" t="s">
        <v>96</v>
      </c>
      <c r="B4" s="77" t="s">
        <v>37</v>
      </c>
      <c r="C4" s="77">
        <v>2</v>
      </c>
      <c r="D4" s="77" t="s">
        <v>38</v>
      </c>
      <c r="E4" s="79">
        <v>6291107161013</v>
      </c>
      <c r="G4" s="77" t="s">
        <v>97</v>
      </c>
      <c r="H4" s="78" t="s">
        <v>40</v>
      </c>
      <c r="I4" s="559">
        <v>12</v>
      </c>
      <c r="J4" s="559">
        <v>48</v>
      </c>
      <c r="K4" s="559">
        <v>8</v>
      </c>
      <c r="L4" s="559">
        <v>6</v>
      </c>
      <c r="M4" s="567">
        <v>48</v>
      </c>
      <c r="N4" s="77">
        <v>472</v>
      </c>
      <c r="O4" s="77">
        <v>344</v>
      </c>
      <c r="P4" s="77">
        <v>201</v>
      </c>
      <c r="Q4" s="77">
        <v>5.85</v>
      </c>
      <c r="R4" s="77">
        <v>6.6</v>
      </c>
      <c r="S4" s="77">
        <v>100</v>
      </c>
      <c r="T4" s="77">
        <v>175</v>
      </c>
      <c r="U4" s="77">
        <v>0</v>
      </c>
      <c r="V4" s="77">
        <v>0.55000000000000004</v>
      </c>
      <c r="W4" s="77">
        <v>0.45</v>
      </c>
      <c r="X4" s="77">
        <v>0</v>
      </c>
      <c r="Y4" s="77">
        <v>0</v>
      </c>
      <c r="Z4" s="78" t="s">
        <v>41</v>
      </c>
      <c r="AA4" s="348">
        <f>ROUNDUP(bhpc_data!$AI4/bhpc_data[[#This Row],[units_per_carton]],0)</f>
        <v>0</v>
      </c>
      <c r="AB4" s="348">
        <f>bhpc_data!$AJ4/bhpc_data[[#This Row],[units_per_carton]]</f>
        <v>0</v>
      </c>
      <c r="AC4" s="348">
        <f>(bhpc_data[[#This Row],[net_weight]]/bhpc_data[[#This Row],[units_per_carton]])*bhpc_data!$AK4*bhpc_data[[#This Row],[product1_weight]]</f>
        <v>0</v>
      </c>
      <c r="AD4" s="348">
        <f>(bhpc_data[[#This Row],[net_weight]]/bhpc_data[[#This Row],[units_per_carton]])*bhpc_data!$AK4*bhpc_data[[#This Row],[product2_weight]]</f>
        <v>0</v>
      </c>
      <c r="AE4" s="348">
        <f>(bhpc_data[[#This Row],[gross_weight]]/bhpc_data[[#This Row],[units_per_carton]])*bhpc_data!$AK4*bhpc_data[[#This Row],[product1_weight]]</f>
        <v>0</v>
      </c>
      <c r="AF4" s="348">
        <f>(bhpc_data[[#This Row],[gross_weight]]/bhpc_data[[#This Row],[units_per_carton]])*bhpc_data!$AK4*bhpc_data[[#This Row],[product2_weight]]</f>
        <v>0</v>
      </c>
      <c r="AG4" s="348">
        <f>(bhpc_data[[#This Row],[lenght]]*bhpc_data[[#This Row],[width]]*bhpc_data[[#This Row],[height]])/1000000000*bhpc_data!$AK4/bhpc_data[[#This Row],[units_per_carton]]*bhpc_data[[#This Row],[product1_weight]]</f>
        <v>0</v>
      </c>
      <c r="AH4" s="348">
        <f>(bhpc_data[[#This Row],[lenght]]*bhpc_data[[#This Row],[width]]*bhpc_data[[#This Row],[height]])/1000000000*bhpc_data!$AK4/bhpc_data[[#This Row],[units_per_carton]]*bhpc_data[[#This Row],[product2_weight]]</f>
        <v>0</v>
      </c>
      <c r="AI4" s="349">
        <f>SUMIF(productsSku,bhpc_data[[#This Row],[sku]],productsQty)+SUMIF(productsSku,bhpc_data[[#This Row],[sku]],productsDiscQty)</f>
        <v>0</v>
      </c>
      <c r="AJ4" s="349">
        <f>SUMIF(productsSku,bhpc_data[[#This Row],[sku]],productsFocQty)</f>
        <v>0</v>
      </c>
      <c r="AK4" s="350">
        <f>bhpc_data!$AI4+bhpc_data!$AJ4</f>
        <v>0</v>
      </c>
      <c r="AL4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" s="551" t="str">
        <f>IF(bhpc_data[[#This Row],[hs_code]]="","",IF(bhpc_data[[#This Row],[hs_code]]="33030090",bhpc_data[[#This Row],[tot_order]]/bhpc_data[[#This Row],[units_per_carton]]*bhpc_data[[#This Row],[net_weight]],0))</f>
        <v/>
      </c>
      <c r="AO4" s="568">
        <f>IFERROR(bhpc_data[[#This Row],[tot_order]]/bhpc_data[[#This Row],[units_per_carton]]/bhpc_data[[#This Row],[box_per_europallet]],"")</f>
        <v>0</v>
      </c>
      <c r="AP4" s="568">
        <f>IFERROR(bhpc_data[[#This Row],[tot_order]]/bhpc_data[[#This Row],[units_per_carton]]/bhpc_data[[#This Row],[box_per_pallet]],"")</f>
        <v>0</v>
      </c>
      <c r="AQ4" s="581">
        <f>IFERROR(ROUNDUP(bhpc_data[[#This Row],[pallet_euro]],0),"")</f>
        <v>0</v>
      </c>
      <c r="AR4" s="581">
        <f>IFERROR(ROUNDUP(bhpc_data[[#This Row],[pallet]],0),"")</f>
        <v>0</v>
      </c>
      <c r="AV4" s="77" t="s">
        <v>184</v>
      </c>
    </row>
    <row r="5" spans="1:48">
      <c r="A5" s="77" t="s">
        <v>98</v>
      </c>
      <c r="B5" s="77" t="s">
        <v>37</v>
      </c>
      <c r="C5" s="77">
        <v>2</v>
      </c>
      <c r="D5" s="77" t="s">
        <v>38</v>
      </c>
      <c r="E5" s="79">
        <v>6291107161020</v>
      </c>
      <c r="G5" s="77" t="s">
        <v>99</v>
      </c>
      <c r="H5" s="78" t="s">
        <v>40</v>
      </c>
      <c r="I5" s="559">
        <v>12</v>
      </c>
      <c r="J5" s="559">
        <v>48</v>
      </c>
      <c r="K5" s="559">
        <v>8</v>
      </c>
      <c r="L5" s="559">
        <v>6</v>
      </c>
      <c r="M5" s="567">
        <v>48</v>
      </c>
      <c r="N5" s="77">
        <v>472</v>
      </c>
      <c r="O5" s="77">
        <v>344</v>
      </c>
      <c r="P5" s="77">
        <v>201</v>
      </c>
      <c r="Q5" s="77">
        <v>5.85</v>
      </c>
      <c r="R5" s="77">
        <v>6.6</v>
      </c>
      <c r="S5" s="77">
        <v>100</v>
      </c>
      <c r="T5" s="77">
        <v>175</v>
      </c>
      <c r="U5" s="77">
        <v>0</v>
      </c>
      <c r="V5" s="77">
        <v>0.55000000000000004</v>
      </c>
      <c r="W5" s="77">
        <v>0.45</v>
      </c>
      <c r="X5" s="77">
        <v>0</v>
      </c>
      <c r="Y5" s="77">
        <v>0</v>
      </c>
      <c r="Z5" s="78" t="s">
        <v>41</v>
      </c>
      <c r="AA5" s="351">
        <f>ROUNDUP(bhpc_data!$AI5/bhpc_data[[#This Row],[units_per_carton]],0)</f>
        <v>0</v>
      </c>
      <c r="AB5" s="351">
        <f>bhpc_data!$AJ5/bhpc_data[[#This Row],[units_per_carton]]</f>
        <v>0</v>
      </c>
      <c r="AC5" s="351">
        <f>(bhpc_data[[#This Row],[net_weight]]/bhpc_data[[#This Row],[units_per_carton]])*bhpc_data!$AK5*bhpc_data[[#This Row],[product1_weight]]</f>
        <v>0</v>
      </c>
      <c r="AD5" s="351">
        <f>(bhpc_data[[#This Row],[net_weight]]/bhpc_data[[#This Row],[units_per_carton]])*bhpc_data!$AK5*bhpc_data[[#This Row],[product2_weight]]</f>
        <v>0</v>
      </c>
      <c r="AE5" s="351">
        <f>(bhpc_data[[#This Row],[gross_weight]]/bhpc_data[[#This Row],[units_per_carton]])*bhpc_data!$AK5*bhpc_data[[#This Row],[product1_weight]]</f>
        <v>0</v>
      </c>
      <c r="AF5" s="351">
        <f>(bhpc_data[[#This Row],[gross_weight]]/bhpc_data[[#This Row],[units_per_carton]])*bhpc_data!$AK5*bhpc_data[[#This Row],[product2_weight]]</f>
        <v>0</v>
      </c>
      <c r="AG5" s="351">
        <f>(bhpc_data[[#This Row],[lenght]]*bhpc_data[[#This Row],[width]]*bhpc_data[[#This Row],[height]])/1000000000*bhpc_data!$AK5/bhpc_data[[#This Row],[units_per_carton]]*bhpc_data[[#This Row],[product1_weight]]</f>
        <v>0</v>
      </c>
      <c r="AH5" s="351">
        <f>(bhpc_data[[#This Row],[lenght]]*bhpc_data[[#This Row],[width]]*bhpc_data[[#This Row],[height]])/1000000000*bhpc_data!$AK5/bhpc_data[[#This Row],[units_per_carton]]*bhpc_data[[#This Row],[product2_weight]]</f>
        <v>0</v>
      </c>
      <c r="AI5" s="352">
        <f>SUMIF(productsSku,bhpc_data[[#This Row],[sku]],productsQty)+SUMIF(productsSku,bhpc_data[[#This Row],[sku]],productsDiscQty)</f>
        <v>0</v>
      </c>
      <c r="AJ5" s="352">
        <f>SUMIF(productsSku,bhpc_data[[#This Row],[sku]],productsFocQty)</f>
        <v>0</v>
      </c>
      <c r="AK5" s="353">
        <f>bhpc_data!$AI5+bhpc_data!$AJ5</f>
        <v>0</v>
      </c>
      <c r="AL5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" s="551" t="str">
        <f>IF(bhpc_data[[#This Row],[hs_code]]="","",IF(bhpc_data[[#This Row],[hs_code]]="33030090",bhpc_data[[#This Row],[tot_order]]/bhpc_data[[#This Row],[units_per_carton]]*bhpc_data[[#This Row],[net_weight]],0))</f>
        <v/>
      </c>
      <c r="AO5" s="568">
        <f>IFERROR(bhpc_data[[#This Row],[tot_order]]/bhpc_data[[#This Row],[units_per_carton]]/bhpc_data[[#This Row],[box_per_europallet]],"")</f>
        <v>0</v>
      </c>
      <c r="AP5" s="568">
        <f>IFERROR(bhpc_data[[#This Row],[tot_order]]/bhpc_data[[#This Row],[units_per_carton]]/bhpc_data[[#This Row],[box_per_pallet]],"")</f>
        <v>0</v>
      </c>
      <c r="AQ5" s="581">
        <f>IFERROR(ROUNDUP(bhpc_data[[#This Row],[pallet_euro]],0),"")</f>
        <v>0</v>
      </c>
      <c r="AR5" s="581">
        <f>IFERROR(ROUNDUP(bhpc_data[[#This Row],[pallet]],0),"")</f>
        <v>0</v>
      </c>
      <c r="AV5" s="77" t="s">
        <v>186</v>
      </c>
    </row>
    <row r="6" spans="1:48">
      <c r="A6" s="77" t="s">
        <v>36</v>
      </c>
      <c r="B6" s="77" t="s">
        <v>37</v>
      </c>
      <c r="C6" s="77">
        <v>2</v>
      </c>
      <c r="D6" s="77" t="s">
        <v>38</v>
      </c>
      <c r="E6" s="79">
        <v>6291107160993</v>
      </c>
      <c r="G6" s="77" t="s">
        <v>39</v>
      </c>
      <c r="H6" s="78" t="s">
        <v>40</v>
      </c>
      <c r="I6" s="559">
        <v>12</v>
      </c>
      <c r="J6" s="559">
        <v>42</v>
      </c>
      <c r="K6" s="559">
        <v>6</v>
      </c>
      <c r="L6" s="559">
        <v>7</v>
      </c>
      <c r="M6" s="567">
        <v>63</v>
      </c>
      <c r="N6" s="77">
        <v>370</v>
      </c>
      <c r="O6" s="77">
        <v>330</v>
      </c>
      <c r="P6" s="77">
        <v>230</v>
      </c>
      <c r="Q6" s="77">
        <v>5.04</v>
      </c>
      <c r="R6" s="77">
        <v>5.79</v>
      </c>
      <c r="S6" s="77">
        <v>50</v>
      </c>
      <c r="T6" s="77">
        <v>175</v>
      </c>
      <c r="U6" s="77">
        <v>0</v>
      </c>
      <c r="V6" s="77">
        <v>0.55000000000000004</v>
      </c>
      <c r="W6" s="77">
        <v>0.45</v>
      </c>
      <c r="X6" s="77">
        <v>0</v>
      </c>
      <c r="Y6" s="77">
        <v>0</v>
      </c>
      <c r="Z6" s="78" t="s">
        <v>41</v>
      </c>
      <c r="AA6" s="348">
        <f>ROUNDUP(bhpc_data!$AI6/bhpc_data[[#This Row],[units_per_carton]],0)</f>
        <v>0</v>
      </c>
      <c r="AB6" s="348">
        <f>bhpc_data!$AJ6/bhpc_data[[#This Row],[units_per_carton]]</f>
        <v>0</v>
      </c>
      <c r="AC6" s="348">
        <f>(bhpc_data[[#This Row],[net_weight]]/bhpc_data[[#This Row],[units_per_carton]])*bhpc_data!$AK6*bhpc_data[[#This Row],[product1_weight]]</f>
        <v>0</v>
      </c>
      <c r="AD6" s="348">
        <f>(bhpc_data[[#This Row],[net_weight]]/bhpc_data[[#This Row],[units_per_carton]])*bhpc_data!$AK6*bhpc_data[[#This Row],[product2_weight]]</f>
        <v>0</v>
      </c>
      <c r="AE6" s="348">
        <f>(bhpc_data[[#This Row],[gross_weight]]/bhpc_data[[#This Row],[units_per_carton]])*bhpc_data!$AK6*bhpc_data[[#This Row],[product1_weight]]</f>
        <v>0</v>
      </c>
      <c r="AF6" s="348">
        <f>(bhpc_data[[#This Row],[gross_weight]]/bhpc_data[[#This Row],[units_per_carton]])*bhpc_data!$AK6*bhpc_data[[#This Row],[product2_weight]]</f>
        <v>0</v>
      </c>
      <c r="AG6" s="348">
        <f>(bhpc_data[[#This Row],[lenght]]*bhpc_data[[#This Row],[width]]*bhpc_data[[#This Row],[height]])/1000000000*bhpc_data!$AK6/bhpc_data[[#This Row],[units_per_carton]]*bhpc_data[[#This Row],[product1_weight]]</f>
        <v>0</v>
      </c>
      <c r="AH6" s="348">
        <f>(bhpc_data[[#This Row],[lenght]]*bhpc_data[[#This Row],[width]]*bhpc_data[[#This Row],[height]])/1000000000*bhpc_data!$AK6/bhpc_data[[#This Row],[units_per_carton]]*bhpc_data[[#This Row],[product2_weight]]</f>
        <v>0</v>
      </c>
      <c r="AI6" s="349">
        <f>SUMIF(productsSku,bhpc_data[[#This Row],[sku]],productsQty)+SUMIF(productsSku,bhpc_data[[#This Row],[sku]],productsDiscQty)</f>
        <v>0</v>
      </c>
      <c r="AJ6" s="349">
        <f>SUMIF(productsSku,bhpc_data[[#This Row],[sku]],productsFocQty)</f>
        <v>0</v>
      </c>
      <c r="AK6" s="350">
        <f>bhpc_data!$AI6+bhpc_data!$AJ6</f>
        <v>0</v>
      </c>
      <c r="AL6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" s="551" t="str">
        <f>IF(bhpc_data[[#This Row],[hs_code]]="","",IF(bhpc_data[[#This Row],[hs_code]]="33030090",bhpc_data[[#This Row],[tot_order]]/bhpc_data[[#This Row],[units_per_carton]]*bhpc_data[[#This Row],[net_weight]],0))</f>
        <v/>
      </c>
      <c r="AO6" s="568">
        <f>IFERROR(bhpc_data[[#This Row],[tot_order]]/bhpc_data[[#This Row],[units_per_carton]]/bhpc_data[[#This Row],[box_per_europallet]],"")</f>
        <v>0</v>
      </c>
      <c r="AP6" s="568">
        <f>IFERROR(bhpc_data[[#This Row],[tot_order]]/bhpc_data[[#This Row],[units_per_carton]]/bhpc_data[[#This Row],[box_per_pallet]],"")</f>
        <v>0</v>
      </c>
      <c r="AQ6" s="581">
        <f>IFERROR(ROUNDUP(bhpc_data[[#This Row],[pallet_euro]],0),"")</f>
        <v>0</v>
      </c>
      <c r="AR6" s="581">
        <f>IFERROR(ROUNDUP(bhpc_data[[#This Row],[pallet]],0),"")</f>
        <v>0</v>
      </c>
      <c r="AV6" s="77" t="s">
        <v>111</v>
      </c>
    </row>
    <row r="7" spans="1:48">
      <c r="A7" s="77" t="s">
        <v>42</v>
      </c>
      <c r="B7" s="77" t="s">
        <v>37</v>
      </c>
      <c r="C7" s="77">
        <v>2</v>
      </c>
      <c r="D7" s="77" t="s">
        <v>38</v>
      </c>
      <c r="E7" s="79">
        <v>6291107161006</v>
      </c>
      <c r="G7" s="77" t="s">
        <v>43</v>
      </c>
      <c r="H7" s="78" t="s">
        <v>40</v>
      </c>
      <c r="I7" s="559">
        <v>12</v>
      </c>
      <c r="J7" s="559">
        <v>42</v>
      </c>
      <c r="K7" s="559">
        <v>6</v>
      </c>
      <c r="L7" s="559">
        <v>7</v>
      </c>
      <c r="M7" s="567">
        <v>63</v>
      </c>
      <c r="N7" s="77">
        <v>370</v>
      </c>
      <c r="O7" s="77">
        <v>330</v>
      </c>
      <c r="P7" s="77">
        <v>230</v>
      </c>
      <c r="Q7" s="77">
        <v>5.04</v>
      </c>
      <c r="R7" s="77">
        <v>5.79</v>
      </c>
      <c r="S7" s="77">
        <v>50</v>
      </c>
      <c r="T7" s="77">
        <v>175</v>
      </c>
      <c r="U7" s="77">
        <v>0</v>
      </c>
      <c r="V7" s="77">
        <v>0.55000000000000004</v>
      </c>
      <c r="W7" s="77">
        <v>0.45</v>
      </c>
      <c r="X7" s="77">
        <v>0</v>
      </c>
      <c r="Y7" s="77">
        <v>0</v>
      </c>
      <c r="Z7" s="78" t="s">
        <v>41</v>
      </c>
      <c r="AA7" s="351">
        <f>ROUNDUP(bhpc_data!$AI7/bhpc_data[[#This Row],[units_per_carton]],0)</f>
        <v>0</v>
      </c>
      <c r="AB7" s="351">
        <f>bhpc_data!$AJ7/bhpc_data[[#This Row],[units_per_carton]]</f>
        <v>0</v>
      </c>
      <c r="AC7" s="351">
        <f>(bhpc_data[[#This Row],[net_weight]]/bhpc_data[[#This Row],[units_per_carton]])*bhpc_data!$AK7*bhpc_data[[#This Row],[product1_weight]]</f>
        <v>0</v>
      </c>
      <c r="AD7" s="351">
        <f>(bhpc_data[[#This Row],[net_weight]]/bhpc_data[[#This Row],[units_per_carton]])*bhpc_data!$AK7*bhpc_data[[#This Row],[product2_weight]]</f>
        <v>0</v>
      </c>
      <c r="AE7" s="351">
        <f>(bhpc_data[[#This Row],[gross_weight]]/bhpc_data[[#This Row],[units_per_carton]])*bhpc_data!$AK7*bhpc_data[[#This Row],[product1_weight]]</f>
        <v>0</v>
      </c>
      <c r="AF7" s="351">
        <f>(bhpc_data[[#This Row],[gross_weight]]/bhpc_data[[#This Row],[units_per_carton]])*bhpc_data!$AK7*bhpc_data[[#This Row],[product2_weight]]</f>
        <v>0</v>
      </c>
      <c r="AG7" s="351">
        <f>(bhpc_data[[#This Row],[lenght]]*bhpc_data[[#This Row],[width]]*bhpc_data[[#This Row],[height]])/1000000000*bhpc_data!$AK7/bhpc_data[[#This Row],[units_per_carton]]*bhpc_data[[#This Row],[product1_weight]]</f>
        <v>0</v>
      </c>
      <c r="AH7" s="351">
        <f>(bhpc_data[[#This Row],[lenght]]*bhpc_data[[#This Row],[width]]*bhpc_data[[#This Row],[height]])/1000000000*bhpc_data!$AK7/bhpc_data[[#This Row],[units_per_carton]]*bhpc_data[[#This Row],[product2_weight]]</f>
        <v>0</v>
      </c>
      <c r="AI7" s="352">
        <f>SUMIF(productsSku,bhpc_data[[#This Row],[sku]],productsQty)+SUMIF(productsSku,bhpc_data[[#This Row],[sku]],productsDiscQty)</f>
        <v>0</v>
      </c>
      <c r="AJ7" s="352">
        <f>SUMIF(productsSku,bhpc_data[[#This Row],[sku]],productsFocQty)</f>
        <v>0</v>
      </c>
      <c r="AK7" s="353">
        <f>bhpc_data!$AI7+bhpc_data!$AJ7</f>
        <v>0</v>
      </c>
      <c r="AL7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" s="551" t="str">
        <f>IF(bhpc_data[[#This Row],[hs_code]]="","",IF(bhpc_data[[#This Row],[hs_code]]="33030090",bhpc_data[[#This Row],[tot_order]]/bhpc_data[[#This Row],[units_per_carton]]*bhpc_data[[#This Row],[net_weight]],0))</f>
        <v/>
      </c>
      <c r="AO7" s="568">
        <f>IFERROR(bhpc_data[[#This Row],[tot_order]]/bhpc_data[[#This Row],[units_per_carton]]/bhpc_data[[#This Row],[box_per_europallet]],"")</f>
        <v>0</v>
      </c>
      <c r="AP7" s="568">
        <f>IFERROR(bhpc_data[[#This Row],[tot_order]]/bhpc_data[[#This Row],[units_per_carton]]/bhpc_data[[#This Row],[box_per_pallet]],"")</f>
        <v>0</v>
      </c>
      <c r="AQ7" s="581">
        <f>IFERROR(ROUNDUP(bhpc_data[[#This Row],[pallet_euro]],0),"")</f>
        <v>0</v>
      </c>
      <c r="AR7" s="581">
        <f>IFERROR(ROUNDUP(bhpc_data[[#This Row],[pallet]],0),"")</f>
        <v>0</v>
      </c>
      <c r="AV7" s="77" t="s">
        <v>113</v>
      </c>
    </row>
    <row r="8" spans="1:48">
      <c r="A8" s="77" t="s">
        <v>44</v>
      </c>
      <c r="B8" s="77" t="s">
        <v>37</v>
      </c>
      <c r="C8" s="77">
        <v>2</v>
      </c>
      <c r="D8" s="77" t="s">
        <v>38</v>
      </c>
      <c r="E8" s="79">
        <v>6291107161013</v>
      </c>
      <c r="G8" s="77" t="s">
        <v>45</v>
      </c>
      <c r="H8" s="78" t="s">
        <v>40</v>
      </c>
      <c r="I8" s="559">
        <v>12</v>
      </c>
      <c r="J8" s="559">
        <v>42</v>
      </c>
      <c r="K8" s="559">
        <v>6</v>
      </c>
      <c r="L8" s="559">
        <v>7</v>
      </c>
      <c r="M8" s="567">
        <v>63</v>
      </c>
      <c r="N8" s="77">
        <v>370</v>
      </c>
      <c r="O8" s="77">
        <v>330</v>
      </c>
      <c r="P8" s="77">
        <v>230</v>
      </c>
      <c r="Q8" s="77">
        <v>5.04</v>
      </c>
      <c r="R8" s="77">
        <v>5.79</v>
      </c>
      <c r="S8" s="77">
        <v>50</v>
      </c>
      <c r="T8" s="77">
        <v>175</v>
      </c>
      <c r="U8" s="77">
        <v>0</v>
      </c>
      <c r="V8" s="77">
        <v>0.55000000000000004</v>
      </c>
      <c r="W8" s="77">
        <v>0.45</v>
      </c>
      <c r="X8" s="77">
        <v>0</v>
      </c>
      <c r="Y8" s="77">
        <v>0</v>
      </c>
      <c r="Z8" s="78" t="s">
        <v>41</v>
      </c>
      <c r="AA8" s="348">
        <f>ROUNDUP(bhpc_data!$AI8/bhpc_data[[#This Row],[units_per_carton]],0)</f>
        <v>0</v>
      </c>
      <c r="AB8" s="348">
        <f>bhpc_data!$AJ8/bhpc_data[[#This Row],[units_per_carton]]</f>
        <v>0</v>
      </c>
      <c r="AC8" s="348">
        <f>(bhpc_data[[#This Row],[net_weight]]/bhpc_data[[#This Row],[units_per_carton]])*bhpc_data!$AK8*bhpc_data[[#This Row],[product1_weight]]</f>
        <v>0</v>
      </c>
      <c r="AD8" s="348">
        <f>(bhpc_data[[#This Row],[net_weight]]/bhpc_data[[#This Row],[units_per_carton]])*bhpc_data!$AK8*bhpc_data[[#This Row],[product2_weight]]</f>
        <v>0</v>
      </c>
      <c r="AE8" s="348">
        <f>(bhpc_data[[#This Row],[gross_weight]]/bhpc_data[[#This Row],[units_per_carton]])*bhpc_data!$AK8*bhpc_data[[#This Row],[product1_weight]]</f>
        <v>0</v>
      </c>
      <c r="AF8" s="348">
        <f>(bhpc_data[[#This Row],[gross_weight]]/bhpc_data[[#This Row],[units_per_carton]])*bhpc_data!$AK8*bhpc_data[[#This Row],[product2_weight]]</f>
        <v>0</v>
      </c>
      <c r="AG8" s="348">
        <f>(bhpc_data[[#This Row],[lenght]]*bhpc_data[[#This Row],[width]]*bhpc_data[[#This Row],[height]])/1000000000*bhpc_data!$AK8/bhpc_data[[#This Row],[units_per_carton]]*bhpc_data[[#This Row],[product1_weight]]</f>
        <v>0</v>
      </c>
      <c r="AH8" s="348">
        <f>(bhpc_data[[#This Row],[lenght]]*bhpc_data[[#This Row],[width]]*bhpc_data[[#This Row],[height]])/1000000000*bhpc_data!$AK8/bhpc_data[[#This Row],[units_per_carton]]*bhpc_data[[#This Row],[product2_weight]]</f>
        <v>0</v>
      </c>
      <c r="AI8" s="349">
        <f>SUMIF(productsSku,bhpc_data[[#This Row],[sku]],productsQty)+SUMIF(productsSku,bhpc_data[[#This Row],[sku]],productsDiscQty)</f>
        <v>0</v>
      </c>
      <c r="AJ8" s="349">
        <f>SUMIF(productsSku,bhpc_data[[#This Row],[sku]],productsFocQty)</f>
        <v>0</v>
      </c>
      <c r="AK8" s="350">
        <f>bhpc_data!$AI8+bhpc_data!$AJ8</f>
        <v>0</v>
      </c>
      <c r="AL8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" s="551" t="str">
        <f>IF(bhpc_data[[#This Row],[hs_code]]="","",IF(bhpc_data[[#This Row],[hs_code]]="33030090",bhpc_data[[#This Row],[tot_order]]/bhpc_data[[#This Row],[units_per_carton]]*bhpc_data[[#This Row],[net_weight]],0))</f>
        <v/>
      </c>
      <c r="AO8" s="568">
        <f>IFERROR(bhpc_data[[#This Row],[tot_order]]/bhpc_data[[#This Row],[units_per_carton]]/bhpc_data[[#This Row],[box_per_europallet]],"")</f>
        <v>0</v>
      </c>
      <c r="AP8" s="568">
        <f>IFERROR(bhpc_data[[#This Row],[tot_order]]/bhpc_data[[#This Row],[units_per_carton]]/bhpc_data[[#This Row],[box_per_pallet]],"")</f>
        <v>0</v>
      </c>
      <c r="AQ8" s="581">
        <f>IFERROR(ROUNDUP(bhpc_data[[#This Row],[pallet_euro]],0),"")</f>
        <v>0</v>
      </c>
      <c r="AR8" s="581">
        <f>IFERROR(ROUNDUP(bhpc_data[[#This Row],[pallet]],0),"")</f>
        <v>0</v>
      </c>
      <c r="AV8" s="77" t="s">
        <v>115</v>
      </c>
    </row>
    <row r="9" spans="1:48">
      <c r="A9" s="77" t="s">
        <v>46</v>
      </c>
      <c r="B9" s="77" t="s">
        <v>37</v>
      </c>
      <c r="C9" s="77">
        <v>2</v>
      </c>
      <c r="D9" s="77" t="s">
        <v>38</v>
      </c>
      <c r="E9" s="79">
        <v>6291107161020</v>
      </c>
      <c r="G9" s="77" t="s">
        <v>47</v>
      </c>
      <c r="H9" s="78" t="s">
        <v>40</v>
      </c>
      <c r="I9" s="559">
        <v>12</v>
      </c>
      <c r="J9" s="559">
        <v>42</v>
      </c>
      <c r="K9" s="559">
        <v>6</v>
      </c>
      <c r="L9" s="559">
        <v>7</v>
      </c>
      <c r="M9" s="567">
        <v>63</v>
      </c>
      <c r="N9" s="77">
        <v>370</v>
      </c>
      <c r="O9" s="77">
        <v>330</v>
      </c>
      <c r="P9" s="77">
        <v>230</v>
      </c>
      <c r="Q9" s="77">
        <v>5.04</v>
      </c>
      <c r="R9" s="77">
        <v>5.79</v>
      </c>
      <c r="S9" s="77">
        <v>50</v>
      </c>
      <c r="T9" s="77">
        <v>175</v>
      </c>
      <c r="U9" s="77">
        <v>0</v>
      </c>
      <c r="V9" s="77">
        <v>0.55000000000000004</v>
      </c>
      <c r="W9" s="77">
        <v>0.45</v>
      </c>
      <c r="X9" s="77">
        <v>0</v>
      </c>
      <c r="Y9" s="77">
        <v>0</v>
      </c>
      <c r="Z9" s="78" t="s">
        <v>41</v>
      </c>
      <c r="AA9" s="351">
        <f>ROUNDUP(bhpc_data!$AI9/bhpc_data[[#This Row],[units_per_carton]],0)</f>
        <v>0</v>
      </c>
      <c r="AB9" s="351">
        <f>bhpc_data!$AJ9/bhpc_data[[#This Row],[units_per_carton]]</f>
        <v>0</v>
      </c>
      <c r="AC9" s="351">
        <f>(bhpc_data[[#This Row],[net_weight]]/bhpc_data[[#This Row],[units_per_carton]])*bhpc_data!$AK9*bhpc_data[[#This Row],[product1_weight]]</f>
        <v>0</v>
      </c>
      <c r="AD9" s="351">
        <f>(bhpc_data[[#This Row],[net_weight]]/bhpc_data[[#This Row],[units_per_carton]])*bhpc_data!$AK9*bhpc_data[[#This Row],[product2_weight]]</f>
        <v>0</v>
      </c>
      <c r="AE9" s="351">
        <f>(bhpc_data[[#This Row],[gross_weight]]/bhpc_data[[#This Row],[units_per_carton]])*bhpc_data!$AK9*bhpc_data[[#This Row],[product1_weight]]</f>
        <v>0</v>
      </c>
      <c r="AF9" s="351">
        <f>(bhpc_data[[#This Row],[gross_weight]]/bhpc_data[[#This Row],[units_per_carton]])*bhpc_data!$AK9*bhpc_data[[#This Row],[product2_weight]]</f>
        <v>0</v>
      </c>
      <c r="AG9" s="351">
        <f>(bhpc_data[[#This Row],[lenght]]*bhpc_data[[#This Row],[width]]*bhpc_data[[#This Row],[height]])/1000000000*bhpc_data!$AK9/bhpc_data[[#This Row],[units_per_carton]]*bhpc_data[[#This Row],[product1_weight]]</f>
        <v>0</v>
      </c>
      <c r="AH9" s="351">
        <f>(bhpc_data[[#This Row],[lenght]]*bhpc_data[[#This Row],[width]]*bhpc_data[[#This Row],[height]])/1000000000*bhpc_data!$AK9/bhpc_data[[#This Row],[units_per_carton]]*bhpc_data[[#This Row],[product2_weight]]</f>
        <v>0</v>
      </c>
      <c r="AI9" s="352">
        <f>SUMIF(productsSku,bhpc_data[[#This Row],[sku]],productsQty)+SUMIF(productsSku,bhpc_data[[#This Row],[sku]],productsDiscQty)</f>
        <v>0</v>
      </c>
      <c r="AJ9" s="352">
        <f>SUMIF(productsSku,bhpc_data[[#This Row],[sku]],productsFocQty)</f>
        <v>0</v>
      </c>
      <c r="AK9" s="353">
        <f>bhpc_data!$AI9+bhpc_data!$AJ9</f>
        <v>0</v>
      </c>
      <c r="AL9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" s="551" t="str">
        <f>IF(bhpc_data[[#This Row],[hs_code]]="","",IF(bhpc_data[[#This Row],[hs_code]]="33030090",bhpc_data[[#This Row],[tot_order]]/bhpc_data[[#This Row],[units_per_carton]]*bhpc_data[[#This Row],[net_weight]],0))</f>
        <v/>
      </c>
      <c r="AO9" s="568">
        <f>IFERROR(bhpc_data[[#This Row],[tot_order]]/bhpc_data[[#This Row],[units_per_carton]]/bhpc_data[[#This Row],[box_per_europallet]],"")</f>
        <v>0</v>
      </c>
      <c r="AP9" s="568">
        <f>IFERROR(bhpc_data[[#This Row],[tot_order]]/bhpc_data[[#This Row],[units_per_carton]]/bhpc_data[[#This Row],[box_per_pallet]],"")</f>
        <v>0</v>
      </c>
      <c r="AQ9" s="581">
        <f>IFERROR(ROUNDUP(bhpc_data[[#This Row],[pallet_euro]],0),"")</f>
        <v>0</v>
      </c>
      <c r="AR9" s="581">
        <f>IFERROR(ROUNDUP(bhpc_data[[#This Row],[pallet]],0),"")</f>
        <v>0</v>
      </c>
      <c r="AV9" s="77" t="s">
        <v>117</v>
      </c>
    </row>
    <row r="10" spans="1:48">
      <c r="A10" s="77" t="s">
        <v>48</v>
      </c>
      <c r="B10" s="77" t="s">
        <v>37</v>
      </c>
      <c r="C10" s="77">
        <v>2</v>
      </c>
      <c r="D10" s="77" t="s">
        <v>49</v>
      </c>
      <c r="E10" s="79">
        <v>6291107161037</v>
      </c>
      <c r="G10" s="77" t="s">
        <v>50</v>
      </c>
      <c r="H10" s="78" t="s">
        <v>40</v>
      </c>
      <c r="I10" s="559">
        <v>12</v>
      </c>
      <c r="J10" s="559">
        <v>42</v>
      </c>
      <c r="K10" s="559">
        <v>6</v>
      </c>
      <c r="L10" s="559">
        <v>7</v>
      </c>
      <c r="M10" s="567">
        <v>63</v>
      </c>
      <c r="N10" s="77">
        <v>370</v>
      </c>
      <c r="O10" s="77">
        <v>330</v>
      </c>
      <c r="P10" s="77">
        <v>230</v>
      </c>
      <c r="Q10" s="77">
        <v>4.78</v>
      </c>
      <c r="R10" s="77">
        <v>5.25</v>
      </c>
      <c r="S10" s="77">
        <v>50</v>
      </c>
      <c r="T10" s="77">
        <v>150</v>
      </c>
      <c r="U10" s="77">
        <v>0</v>
      </c>
      <c r="V10" s="77">
        <v>0.55000000000000004</v>
      </c>
      <c r="W10" s="77">
        <v>0.45</v>
      </c>
      <c r="X10" s="77">
        <v>0</v>
      </c>
      <c r="Y10" s="77">
        <v>0</v>
      </c>
      <c r="Z10" s="78" t="s">
        <v>41</v>
      </c>
      <c r="AA10" s="348">
        <f>ROUNDUP(bhpc_data!$AI10/bhpc_data[[#This Row],[units_per_carton]],0)</f>
        <v>0</v>
      </c>
      <c r="AB10" s="348">
        <f>bhpc_data!$AJ10/bhpc_data[[#This Row],[units_per_carton]]</f>
        <v>0</v>
      </c>
      <c r="AC10" s="348">
        <f>(bhpc_data[[#This Row],[net_weight]]/bhpc_data[[#This Row],[units_per_carton]])*bhpc_data!$AK10*bhpc_data[[#This Row],[product1_weight]]</f>
        <v>0</v>
      </c>
      <c r="AD10" s="348">
        <f>(bhpc_data[[#This Row],[net_weight]]/bhpc_data[[#This Row],[units_per_carton]])*bhpc_data!$AK10*bhpc_data[[#This Row],[product2_weight]]</f>
        <v>0</v>
      </c>
      <c r="AE10" s="348">
        <f>(bhpc_data[[#This Row],[gross_weight]]/bhpc_data[[#This Row],[units_per_carton]])*bhpc_data!$AK10*bhpc_data[[#This Row],[product1_weight]]</f>
        <v>0</v>
      </c>
      <c r="AF10" s="348">
        <f>(bhpc_data[[#This Row],[gross_weight]]/bhpc_data[[#This Row],[units_per_carton]])*bhpc_data!$AK10*bhpc_data[[#This Row],[product2_weight]]</f>
        <v>0</v>
      </c>
      <c r="AG10" s="348">
        <f>(bhpc_data[[#This Row],[lenght]]*bhpc_data[[#This Row],[width]]*bhpc_data[[#This Row],[height]])/1000000000*bhpc_data!$AK10/bhpc_data[[#This Row],[units_per_carton]]*bhpc_data[[#This Row],[product1_weight]]</f>
        <v>0</v>
      </c>
      <c r="AH10" s="348">
        <f>(bhpc_data[[#This Row],[lenght]]*bhpc_data[[#This Row],[width]]*bhpc_data[[#This Row],[height]])/1000000000*bhpc_data!$AK10/bhpc_data[[#This Row],[units_per_carton]]*bhpc_data[[#This Row],[product2_weight]]</f>
        <v>0</v>
      </c>
      <c r="AI10" s="349">
        <f>SUMIF(productsSku,bhpc_data[[#This Row],[sku]],productsQty)+SUMIF(productsSku,bhpc_data[[#This Row],[sku]],productsDiscQty)</f>
        <v>0</v>
      </c>
      <c r="AJ10" s="349">
        <f>SUMIF(productsSku,bhpc_data[[#This Row],[sku]],productsFocQty)</f>
        <v>0</v>
      </c>
      <c r="AK10" s="350">
        <f>bhpc_data!$AI10+bhpc_data!$AJ10</f>
        <v>0</v>
      </c>
      <c r="AL10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0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0" s="551" t="str">
        <f>IF(bhpc_data[[#This Row],[hs_code]]="","",IF(bhpc_data[[#This Row],[hs_code]]="33030090",bhpc_data[[#This Row],[tot_order]]/bhpc_data[[#This Row],[units_per_carton]]*bhpc_data[[#This Row],[net_weight]],0))</f>
        <v/>
      </c>
      <c r="AO10" s="568">
        <f>IFERROR(bhpc_data[[#This Row],[tot_order]]/bhpc_data[[#This Row],[units_per_carton]]/bhpc_data[[#This Row],[box_per_europallet]],"")</f>
        <v>0</v>
      </c>
      <c r="AP10" s="568">
        <f>IFERROR(bhpc_data[[#This Row],[tot_order]]/bhpc_data[[#This Row],[units_per_carton]]/bhpc_data[[#This Row],[box_per_pallet]],"")</f>
        <v>0</v>
      </c>
      <c r="AQ10" s="581">
        <f>IFERROR(ROUNDUP(bhpc_data[[#This Row],[pallet_euro]],0),"")</f>
        <v>0</v>
      </c>
      <c r="AR10" s="581">
        <f>IFERROR(ROUNDUP(bhpc_data[[#This Row],[pallet]],0),"")</f>
        <v>0</v>
      </c>
      <c r="AV10" s="77" t="s">
        <v>73</v>
      </c>
    </row>
    <row r="11" spans="1:48">
      <c r="A11" s="77" t="s">
        <v>51</v>
      </c>
      <c r="B11" s="77" t="s">
        <v>37</v>
      </c>
      <c r="C11" s="77">
        <v>2</v>
      </c>
      <c r="D11" s="77" t="s">
        <v>49</v>
      </c>
      <c r="E11" s="79">
        <v>6291107161044</v>
      </c>
      <c r="G11" s="77" t="s">
        <v>52</v>
      </c>
      <c r="H11" s="78" t="s">
        <v>40</v>
      </c>
      <c r="I11" s="559">
        <v>12</v>
      </c>
      <c r="J11" s="559">
        <v>42</v>
      </c>
      <c r="K11" s="559">
        <v>6</v>
      </c>
      <c r="L11" s="559">
        <v>7</v>
      </c>
      <c r="M11" s="567">
        <v>63</v>
      </c>
      <c r="N11" s="77">
        <v>370</v>
      </c>
      <c r="O11" s="77">
        <v>330</v>
      </c>
      <c r="P11" s="77">
        <v>230</v>
      </c>
      <c r="Q11" s="77">
        <v>4.78</v>
      </c>
      <c r="R11" s="77">
        <v>5.25</v>
      </c>
      <c r="S11" s="77">
        <v>50</v>
      </c>
      <c r="T11" s="77">
        <v>150</v>
      </c>
      <c r="U11" s="77">
        <v>0</v>
      </c>
      <c r="V11" s="77">
        <v>0.55000000000000004</v>
      </c>
      <c r="W11" s="77">
        <v>0.45</v>
      </c>
      <c r="X11" s="77">
        <v>0</v>
      </c>
      <c r="Y11" s="77">
        <v>0</v>
      </c>
      <c r="Z11" s="78" t="s">
        <v>41</v>
      </c>
      <c r="AA11" s="351">
        <f>ROUNDUP(bhpc_data!$AI11/bhpc_data[[#This Row],[units_per_carton]],0)</f>
        <v>0</v>
      </c>
      <c r="AB11" s="351">
        <f>bhpc_data!$AJ11/bhpc_data[[#This Row],[units_per_carton]]</f>
        <v>0</v>
      </c>
      <c r="AC11" s="351">
        <f>(bhpc_data[[#This Row],[net_weight]]/bhpc_data[[#This Row],[units_per_carton]])*bhpc_data!$AK11*bhpc_data[[#This Row],[product1_weight]]</f>
        <v>0</v>
      </c>
      <c r="AD11" s="351">
        <f>(bhpc_data[[#This Row],[net_weight]]/bhpc_data[[#This Row],[units_per_carton]])*bhpc_data!$AK11*bhpc_data[[#This Row],[product2_weight]]</f>
        <v>0</v>
      </c>
      <c r="AE11" s="351">
        <f>(bhpc_data[[#This Row],[gross_weight]]/bhpc_data[[#This Row],[units_per_carton]])*bhpc_data!$AK11*bhpc_data[[#This Row],[product1_weight]]</f>
        <v>0</v>
      </c>
      <c r="AF11" s="351">
        <f>(bhpc_data[[#This Row],[gross_weight]]/bhpc_data[[#This Row],[units_per_carton]])*bhpc_data!$AK11*bhpc_data[[#This Row],[product2_weight]]</f>
        <v>0</v>
      </c>
      <c r="AG11" s="351">
        <f>(bhpc_data[[#This Row],[lenght]]*bhpc_data[[#This Row],[width]]*bhpc_data[[#This Row],[height]])/1000000000*bhpc_data!$AK11/bhpc_data[[#This Row],[units_per_carton]]*bhpc_data[[#This Row],[product1_weight]]</f>
        <v>0</v>
      </c>
      <c r="AH11" s="351">
        <f>(bhpc_data[[#This Row],[lenght]]*bhpc_data[[#This Row],[width]]*bhpc_data[[#This Row],[height]])/1000000000*bhpc_data!$AK11/bhpc_data[[#This Row],[units_per_carton]]*bhpc_data[[#This Row],[product2_weight]]</f>
        <v>0</v>
      </c>
      <c r="AI11" s="352">
        <f>SUMIF(productsSku,bhpc_data[[#This Row],[sku]],productsQty)+SUMIF(productsSku,bhpc_data[[#This Row],[sku]],productsDiscQty)</f>
        <v>0</v>
      </c>
      <c r="AJ11" s="352">
        <f>SUMIF(productsSku,bhpc_data[[#This Row],[sku]],productsFocQty)</f>
        <v>0</v>
      </c>
      <c r="AK11" s="353">
        <f>bhpc_data!$AI11+bhpc_data!$AJ11</f>
        <v>0</v>
      </c>
      <c r="AL11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1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1" s="551" t="str">
        <f>IF(bhpc_data[[#This Row],[hs_code]]="","",IF(bhpc_data[[#This Row],[hs_code]]="33030090",bhpc_data[[#This Row],[tot_order]]/bhpc_data[[#This Row],[units_per_carton]]*bhpc_data[[#This Row],[net_weight]],0))</f>
        <v/>
      </c>
      <c r="AO11" s="568">
        <f>IFERROR(bhpc_data[[#This Row],[tot_order]]/bhpc_data[[#This Row],[units_per_carton]]/bhpc_data[[#This Row],[box_per_europallet]],"")</f>
        <v>0</v>
      </c>
      <c r="AP11" s="568">
        <f>IFERROR(bhpc_data[[#This Row],[tot_order]]/bhpc_data[[#This Row],[units_per_carton]]/bhpc_data[[#This Row],[box_per_pallet]],"")</f>
        <v>0</v>
      </c>
      <c r="AQ11" s="581">
        <f>IFERROR(ROUNDUP(bhpc_data[[#This Row],[pallet_euro]],0),"")</f>
        <v>0</v>
      </c>
      <c r="AR11" s="581">
        <f>IFERROR(ROUNDUP(bhpc_data[[#This Row],[pallet]],0),"")</f>
        <v>0</v>
      </c>
      <c r="AV11" s="77" t="s">
        <v>78</v>
      </c>
    </row>
    <row r="12" spans="1:48">
      <c r="A12" s="77" t="s">
        <v>53</v>
      </c>
      <c r="B12" s="77" t="s">
        <v>37</v>
      </c>
      <c r="C12" s="77">
        <v>2</v>
      </c>
      <c r="D12" s="77" t="s">
        <v>49</v>
      </c>
      <c r="E12" s="79">
        <v>6291107161051</v>
      </c>
      <c r="G12" s="77" t="s">
        <v>54</v>
      </c>
      <c r="H12" s="78" t="s">
        <v>40</v>
      </c>
      <c r="I12" s="559">
        <v>12</v>
      </c>
      <c r="J12" s="559">
        <v>42</v>
      </c>
      <c r="K12" s="559">
        <v>6</v>
      </c>
      <c r="L12" s="559">
        <v>7</v>
      </c>
      <c r="M12" s="567">
        <v>63</v>
      </c>
      <c r="N12" s="77">
        <v>370</v>
      </c>
      <c r="O12" s="77">
        <v>330</v>
      </c>
      <c r="P12" s="77">
        <v>230</v>
      </c>
      <c r="Q12" s="77">
        <v>4.78</v>
      </c>
      <c r="R12" s="77">
        <v>5.25</v>
      </c>
      <c r="S12" s="77">
        <v>50</v>
      </c>
      <c r="T12" s="77">
        <v>150</v>
      </c>
      <c r="U12" s="77">
        <v>0</v>
      </c>
      <c r="V12" s="77">
        <v>0.55000000000000004</v>
      </c>
      <c r="W12" s="77">
        <v>0.45</v>
      </c>
      <c r="X12" s="77">
        <v>0</v>
      </c>
      <c r="Y12" s="77">
        <v>0</v>
      </c>
      <c r="Z12" s="78" t="s">
        <v>41</v>
      </c>
      <c r="AA12" s="348">
        <f>ROUNDUP(bhpc_data!$AI12/bhpc_data[[#This Row],[units_per_carton]],0)</f>
        <v>0</v>
      </c>
      <c r="AB12" s="348">
        <f>bhpc_data!$AJ12/bhpc_data[[#This Row],[units_per_carton]]</f>
        <v>0</v>
      </c>
      <c r="AC12" s="348">
        <f>(bhpc_data[[#This Row],[net_weight]]/bhpc_data[[#This Row],[units_per_carton]])*bhpc_data!$AK12*bhpc_data[[#This Row],[product1_weight]]</f>
        <v>0</v>
      </c>
      <c r="AD12" s="348">
        <f>(bhpc_data[[#This Row],[net_weight]]/bhpc_data[[#This Row],[units_per_carton]])*bhpc_data!$AK12*bhpc_data[[#This Row],[product2_weight]]</f>
        <v>0</v>
      </c>
      <c r="AE12" s="348">
        <f>(bhpc_data[[#This Row],[gross_weight]]/bhpc_data[[#This Row],[units_per_carton]])*bhpc_data!$AK12*bhpc_data[[#This Row],[product1_weight]]</f>
        <v>0</v>
      </c>
      <c r="AF12" s="348">
        <f>(bhpc_data[[#This Row],[gross_weight]]/bhpc_data[[#This Row],[units_per_carton]])*bhpc_data!$AK12*bhpc_data[[#This Row],[product2_weight]]</f>
        <v>0</v>
      </c>
      <c r="AG12" s="348">
        <f>(bhpc_data[[#This Row],[lenght]]*bhpc_data[[#This Row],[width]]*bhpc_data[[#This Row],[height]])/1000000000*bhpc_data!$AK12/bhpc_data[[#This Row],[units_per_carton]]*bhpc_data[[#This Row],[product1_weight]]</f>
        <v>0</v>
      </c>
      <c r="AH12" s="348">
        <f>(bhpc_data[[#This Row],[lenght]]*bhpc_data[[#This Row],[width]]*bhpc_data[[#This Row],[height]])/1000000000*bhpc_data!$AK12/bhpc_data[[#This Row],[units_per_carton]]*bhpc_data[[#This Row],[product2_weight]]</f>
        <v>0</v>
      </c>
      <c r="AI12" s="349">
        <f>SUMIF(productsSku,bhpc_data[[#This Row],[sku]],productsQty)+SUMIF(productsSku,bhpc_data[[#This Row],[sku]],productsDiscQty)</f>
        <v>0</v>
      </c>
      <c r="AJ12" s="349">
        <f>SUMIF(productsSku,bhpc_data[[#This Row],[sku]],productsFocQty)</f>
        <v>0</v>
      </c>
      <c r="AK12" s="350">
        <f>bhpc_data!$AI12+bhpc_data!$AJ12</f>
        <v>0</v>
      </c>
      <c r="AL12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2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2" s="551" t="str">
        <f>IF(bhpc_data[[#This Row],[hs_code]]="","",IF(bhpc_data[[#This Row],[hs_code]]="33030090",bhpc_data[[#This Row],[tot_order]]/bhpc_data[[#This Row],[units_per_carton]]*bhpc_data[[#This Row],[net_weight]],0))</f>
        <v/>
      </c>
      <c r="AO12" s="568">
        <f>IFERROR(bhpc_data[[#This Row],[tot_order]]/bhpc_data[[#This Row],[units_per_carton]]/bhpc_data[[#This Row],[box_per_europallet]],"")</f>
        <v>0</v>
      </c>
      <c r="AP12" s="568">
        <f>IFERROR(bhpc_data[[#This Row],[tot_order]]/bhpc_data[[#This Row],[units_per_carton]]/bhpc_data[[#This Row],[box_per_pallet]],"")</f>
        <v>0</v>
      </c>
      <c r="AQ12" s="581">
        <f>IFERROR(ROUNDUP(bhpc_data[[#This Row],[pallet_euro]],0),"")</f>
        <v>0</v>
      </c>
      <c r="AR12" s="581">
        <f>IFERROR(ROUNDUP(bhpc_data[[#This Row],[pallet]],0),"")</f>
        <v>0</v>
      </c>
      <c r="AV12" s="77" t="s">
        <v>80</v>
      </c>
    </row>
    <row r="13" spans="1:48">
      <c r="A13" s="77" t="s">
        <v>55</v>
      </c>
      <c r="B13" s="77" t="s">
        <v>37</v>
      </c>
      <c r="C13" s="77">
        <v>2</v>
      </c>
      <c r="D13" s="77" t="s">
        <v>49</v>
      </c>
      <c r="E13" s="79">
        <v>6291107161068</v>
      </c>
      <c r="G13" s="77" t="s">
        <v>56</v>
      </c>
      <c r="H13" s="78" t="s">
        <v>40</v>
      </c>
      <c r="I13" s="559">
        <v>12</v>
      </c>
      <c r="J13" s="559">
        <v>42</v>
      </c>
      <c r="K13" s="559">
        <v>6</v>
      </c>
      <c r="L13" s="559">
        <v>7</v>
      </c>
      <c r="M13" s="567">
        <v>63</v>
      </c>
      <c r="N13" s="77">
        <v>370</v>
      </c>
      <c r="O13" s="77">
        <v>330</v>
      </c>
      <c r="P13" s="77">
        <v>230</v>
      </c>
      <c r="Q13" s="77">
        <v>4.78</v>
      </c>
      <c r="R13" s="77">
        <v>5.25</v>
      </c>
      <c r="S13" s="77">
        <v>50</v>
      </c>
      <c r="T13" s="77">
        <v>150</v>
      </c>
      <c r="U13" s="77">
        <v>0</v>
      </c>
      <c r="V13" s="77">
        <v>0.55000000000000004</v>
      </c>
      <c r="W13" s="77">
        <v>0.45</v>
      </c>
      <c r="X13" s="77">
        <v>0</v>
      </c>
      <c r="Y13" s="77">
        <v>0</v>
      </c>
      <c r="Z13" s="78" t="s">
        <v>41</v>
      </c>
      <c r="AA13" s="351">
        <f>ROUNDUP(bhpc_data!$AI13/bhpc_data[[#This Row],[units_per_carton]],0)</f>
        <v>0</v>
      </c>
      <c r="AB13" s="351">
        <f>bhpc_data!$AJ13/bhpc_data[[#This Row],[units_per_carton]]</f>
        <v>0</v>
      </c>
      <c r="AC13" s="351">
        <f>(bhpc_data[[#This Row],[net_weight]]/bhpc_data[[#This Row],[units_per_carton]])*bhpc_data!$AK13*bhpc_data[[#This Row],[product1_weight]]</f>
        <v>0</v>
      </c>
      <c r="AD13" s="351">
        <f>(bhpc_data[[#This Row],[net_weight]]/bhpc_data[[#This Row],[units_per_carton]])*bhpc_data!$AK13*bhpc_data[[#This Row],[product2_weight]]</f>
        <v>0</v>
      </c>
      <c r="AE13" s="351">
        <f>(bhpc_data[[#This Row],[gross_weight]]/bhpc_data[[#This Row],[units_per_carton]])*bhpc_data!$AK13*bhpc_data[[#This Row],[product1_weight]]</f>
        <v>0</v>
      </c>
      <c r="AF13" s="351">
        <f>(bhpc_data[[#This Row],[gross_weight]]/bhpc_data[[#This Row],[units_per_carton]])*bhpc_data!$AK13*bhpc_data[[#This Row],[product2_weight]]</f>
        <v>0</v>
      </c>
      <c r="AG13" s="351">
        <f>(bhpc_data[[#This Row],[lenght]]*bhpc_data[[#This Row],[width]]*bhpc_data[[#This Row],[height]])/1000000000*bhpc_data!$AK13/bhpc_data[[#This Row],[units_per_carton]]*bhpc_data[[#This Row],[product1_weight]]</f>
        <v>0</v>
      </c>
      <c r="AH13" s="351">
        <f>(bhpc_data[[#This Row],[lenght]]*bhpc_data[[#This Row],[width]]*bhpc_data[[#This Row],[height]])/1000000000*bhpc_data!$AK13/bhpc_data[[#This Row],[units_per_carton]]*bhpc_data[[#This Row],[product2_weight]]</f>
        <v>0</v>
      </c>
      <c r="AI13" s="352">
        <f>SUMIF(productsSku,bhpc_data[[#This Row],[sku]],productsQty)+SUMIF(productsSku,bhpc_data[[#This Row],[sku]],productsDiscQty)</f>
        <v>0</v>
      </c>
      <c r="AJ13" s="352">
        <f>SUMIF(productsSku,bhpc_data[[#This Row],[sku]],productsFocQty)</f>
        <v>0</v>
      </c>
      <c r="AK13" s="353">
        <f>bhpc_data!$AI13+bhpc_data!$AJ13</f>
        <v>0</v>
      </c>
      <c r="AL13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3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3" s="551" t="str">
        <f>IF(bhpc_data[[#This Row],[hs_code]]="","",IF(bhpc_data[[#This Row],[hs_code]]="33030090",bhpc_data[[#This Row],[tot_order]]/bhpc_data[[#This Row],[units_per_carton]]*bhpc_data[[#This Row],[net_weight]],0))</f>
        <v/>
      </c>
      <c r="AO13" s="568">
        <f>IFERROR(bhpc_data[[#This Row],[tot_order]]/bhpc_data[[#This Row],[units_per_carton]]/bhpc_data[[#This Row],[box_per_europallet]],"")</f>
        <v>0</v>
      </c>
      <c r="AP13" s="568">
        <f>IFERROR(bhpc_data[[#This Row],[tot_order]]/bhpc_data[[#This Row],[units_per_carton]]/bhpc_data[[#This Row],[box_per_pallet]],"")</f>
        <v>0</v>
      </c>
      <c r="AQ13" s="581">
        <f>IFERROR(ROUNDUP(bhpc_data[[#This Row],[pallet_euro]],0),"")</f>
        <v>0</v>
      </c>
      <c r="AR13" s="581">
        <f>IFERROR(ROUNDUP(bhpc_data[[#This Row],[pallet]],0),"")</f>
        <v>0</v>
      </c>
      <c r="AV13" s="77" t="s">
        <v>82</v>
      </c>
    </row>
    <row r="14" spans="1:48">
      <c r="A14" s="77" t="s">
        <v>100</v>
      </c>
      <c r="B14" s="77" t="s">
        <v>37</v>
      </c>
      <c r="C14" s="77">
        <v>2</v>
      </c>
      <c r="D14" s="77" t="s">
        <v>49</v>
      </c>
      <c r="E14" s="79">
        <v>6291107161037</v>
      </c>
      <c r="G14" s="77" t="s">
        <v>101</v>
      </c>
      <c r="H14" s="78" t="s">
        <v>40</v>
      </c>
      <c r="I14" s="559">
        <v>12</v>
      </c>
      <c r="J14" s="559">
        <v>48</v>
      </c>
      <c r="K14" s="559">
        <v>8</v>
      </c>
      <c r="L14" s="559">
        <v>6</v>
      </c>
      <c r="M14" s="567">
        <v>48</v>
      </c>
      <c r="N14" s="77">
        <v>460</v>
      </c>
      <c r="O14" s="77">
        <v>340</v>
      </c>
      <c r="P14" s="77">
        <v>205</v>
      </c>
      <c r="Q14" s="77">
        <v>5.25</v>
      </c>
      <c r="R14" s="77">
        <v>6</v>
      </c>
      <c r="S14" s="77">
        <v>100</v>
      </c>
      <c r="T14" s="77">
        <v>150</v>
      </c>
      <c r="U14" s="77">
        <v>0</v>
      </c>
      <c r="V14" s="77">
        <v>0.55000000000000004</v>
      </c>
      <c r="W14" s="77">
        <v>0.45</v>
      </c>
      <c r="X14" s="77">
        <v>0</v>
      </c>
      <c r="Y14" s="77">
        <v>0</v>
      </c>
      <c r="Z14" s="78" t="s">
        <v>41</v>
      </c>
      <c r="AA14" s="348">
        <f>ROUNDUP(bhpc_data!$AI14/bhpc_data[[#This Row],[units_per_carton]],0)</f>
        <v>0</v>
      </c>
      <c r="AB14" s="348">
        <f>bhpc_data!$AJ14/bhpc_data[[#This Row],[units_per_carton]]</f>
        <v>0</v>
      </c>
      <c r="AC14" s="348">
        <f>(bhpc_data[[#This Row],[net_weight]]/bhpc_data[[#This Row],[units_per_carton]])*bhpc_data!$AK14*bhpc_data[[#This Row],[product1_weight]]</f>
        <v>0</v>
      </c>
      <c r="AD14" s="348">
        <f>(bhpc_data[[#This Row],[net_weight]]/bhpc_data[[#This Row],[units_per_carton]])*bhpc_data!$AK14*bhpc_data[[#This Row],[product2_weight]]</f>
        <v>0</v>
      </c>
      <c r="AE14" s="348">
        <f>(bhpc_data[[#This Row],[gross_weight]]/bhpc_data[[#This Row],[units_per_carton]])*bhpc_data!$AK14*bhpc_data[[#This Row],[product1_weight]]</f>
        <v>0</v>
      </c>
      <c r="AF14" s="348">
        <f>(bhpc_data[[#This Row],[gross_weight]]/bhpc_data[[#This Row],[units_per_carton]])*bhpc_data!$AK14*bhpc_data[[#This Row],[product2_weight]]</f>
        <v>0</v>
      </c>
      <c r="AG14" s="348">
        <f>(bhpc_data[[#This Row],[lenght]]*bhpc_data[[#This Row],[width]]*bhpc_data[[#This Row],[height]])/1000000000*bhpc_data!$AK14/bhpc_data[[#This Row],[units_per_carton]]*bhpc_data[[#This Row],[product1_weight]]</f>
        <v>0</v>
      </c>
      <c r="AH14" s="348">
        <f>(bhpc_data[[#This Row],[lenght]]*bhpc_data[[#This Row],[width]]*bhpc_data[[#This Row],[height]])/1000000000*bhpc_data!$AK14/bhpc_data[[#This Row],[units_per_carton]]*bhpc_data[[#This Row],[product2_weight]]</f>
        <v>0</v>
      </c>
      <c r="AI14" s="349">
        <f>SUMIF(productsSku,bhpc_data[[#This Row],[sku]],productsQty)+SUMIF(productsSku,bhpc_data[[#This Row],[sku]],productsDiscQty)</f>
        <v>0</v>
      </c>
      <c r="AJ14" s="349">
        <f>SUMIF(productsSku,bhpc_data[[#This Row],[sku]],productsFocQty)</f>
        <v>0</v>
      </c>
      <c r="AK14" s="350">
        <f>bhpc_data!$AI14+bhpc_data!$AJ14</f>
        <v>0</v>
      </c>
      <c r="AL14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4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4" s="551" t="str">
        <f>IF(bhpc_data[[#This Row],[hs_code]]="","",IF(bhpc_data[[#This Row],[hs_code]]="33030090",bhpc_data[[#This Row],[tot_order]]/bhpc_data[[#This Row],[units_per_carton]]*bhpc_data[[#This Row],[net_weight]],0))</f>
        <v/>
      </c>
      <c r="AO14" s="568">
        <f>IFERROR(bhpc_data[[#This Row],[tot_order]]/bhpc_data[[#This Row],[units_per_carton]]/bhpc_data[[#This Row],[box_per_europallet]],"")</f>
        <v>0</v>
      </c>
      <c r="AP14" s="568">
        <f>IFERROR(bhpc_data[[#This Row],[tot_order]]/bhpc_data[[#This Row],[units_per_carton]]/bhpc_data[[#This Row],[box_per_pallet]],"")</f>
        <v>0</v>
      </c>
      <c r="AQ14" s="581">
        <f>IFERROR(ROUNDUP(bhpc_data[[#This Row],[pallet_euro]],0),"")</f>
        <v>0</v>
      </c>
      <c r="AR14" s="581">
        <f>IFERROR(ROUNDUP(bhpc_data[[#This Row],[pallet]],0),"")</f>
        <v>0</v>
      </c>
      <c r="AV14" s="77" t="s">
        <v>169</v>
      </c>
    </row>
    <row r="15" spans="1:48">
      <c r="A15" s="77" t="s">
        <v>102</v>
      </c>
      <c r="B15" s="77" t="s">
        <v>37</v>
      </c>
      <c r="C15" s="77">
        <v>2</v>
      </c>
      <c r="D15" s="77" t="s">
        <v>49</v>
      </c>
      <c r="E15" s="79">
        <v>6291107161044</v>
      </c>
      <c r="G15" s="77" t="s">
        <v>103</v>
      </c>
      <c r="H15" s="78" t="s">
        <v>40</v>
      </c>
      <c r="I15" s="559">
        <v>12</v>
      </c>
      <c r="J15" s="559">
        <v>48</v>
      </c>
      <c r="K15" s="559">
        <v>8</v>
      </c>
      <c r="L15" s="559">
        <v>6</v>
      </c>
      <c r="M15" s="567">
        <v>48</v>
      </c>
      <c r="N15" s="77">
        <v>460</v>
      </c>
      <c r="O15" s="77">
        <v>340</v>
      </c>
      <c r="P15" s="77">
        <v>205</v>
      </c>
      <c r="Q15" s="77">
        <v>5.25</v>
      </c>
      <c r="R15" s="77">
        <v>6</v>
      </c>
      <c r="S15" s="77">
        <v>100</v>
      </c>
      <c r="T15" s="77">
        <v>150</v>
      </c>
      <c r="U15" s="77">
        <v>0</v>
      </c>
      <c r="V15" s="77">
        <v>0.55000000000000004</v>
      </c>
      <c r="W15" s="77">
        <v>0.45</v>
      </c>
      <c r="X15" s="77">
        <v>0</v>
      </c>
      <c r="Y15" s="77">
        <v>0</v>
      </c>
      <c r="Z15" s="78" t="s">
        <v>41</v>
      </c>
      <c r="AA15" s="351">
        <f>ROUNDUP(bhpc_data!$AI15/bhpc_data[[#This Row],[units_per_carton]],0)</f>
        <v>0</v>
      </c>
      <c r="AB15" s="351">
        <f>bhpc_data!$AJ15/bhpc_data[[#This Row],[units_per_carton]]</f>
        <v>0</v>
      </c>
      <c r="AC15" s="351">
        <f>(bhpc_data[[#This Row],[net_weight]]/bhpc_data[[#This Row],[units_per_carton]])*bhpc_data!$AK15*bhpc_data[[#This Row],[product1_weight]]</f>
        <v>0</v>
      </c>
      <c r="AD15" s="351">
        <f>(bhpc_data[[#This Row],[net_weight]]/bhpc_data[[#This Row],[units_per_carton]])*bhpc_data!$AK15*bhpc_data[[#This Row],[product2_weight]]</f>
        <v>0</v>
      </c>
      <c r="AE15" s="351">
        <f>(bhpc_data[[#This Row],[gross_weight]]/bhpc_data[[#This Row],[units_per_carton]])*bhpc_data!$AK15*bhpc_data[[#This Row],[product1_weight]]</f>
        <v>0</v>
      </c>
      <c r="AF15" s="351">
        <f>(bhpc_data[[#This Row],[gross_weight]]/bhpc_data[[#This Row],[units_per_carton]])*bhpc_data!$AK15*bhpc_data[[#This Row],[product2_weight]]</f>
        <v>0</v>
      </c>
      <c r="AG15" s="351">
        <f>(bhpc_data[[#This Row],[lenght]]*bhpc_data[[#This Row],[width]]*bhpc_data[[#This Row],[height]])/1000000000*bhpc_data!$AK15/bhpc_data[[#This Row],[units_per_carton]]*bhpc_data[[#This Row],[product1_weight]]</f>
        <v>0</v>
      </c>
      <c r="AH15" s="351">
        <f>(bhpc_data[[#This Row],[lenght]]*bhpc_data[[#This Row],[width]]*bhpc_data[[#This Row],[height]])/1000000000*bhpc_data!$AK15/bhpc_data[[#This Row],[units_per_carton]]*bhpc_data[[#This Row],[product2_weight]]</f>
        <v>0</v>
      </c>
      <c r="AI15" s="352">
        <f>SUMIF(productsSku,bhpc_data[[#This Row],[sku]],productsQty)+SUMIF(productsSku,bhpc_data[[#This Row],[sku]],productsDiscQty)</f>
        <v>0</v>
      </c>
      <c r="AJ15" s="352">
        <f>SUMIF(productsSku,bhpc_data[[#This Row],[sku]],productsFocQty)</f>
        <v>0</v>
      </c>
      <c r="AK15" s="353">
        <f>bhpc_data!$AI15+bhpc_data!$AJ15</f>
        <v>0</v>
      </c>
      <c r="AL15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5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5" s="551" t="str">
        <f>IF(bhpc_data[[#This Row],[hs_code]]="","",IF(bhpc_data[[#This Row],[hs_code]]="33030090",bhpc_data[[#This Row],[tot_order]]/bhpc_data[[#This Row],[units_per_carton]]*bhpc_data[[#This Row],[net_weight]],0))</f>
        <v/>
      </c>
      <c r="AO15" s="568">
        <f>IFERROR(bhpc_data[[#This Row],[tot_order]]/bhpc_data[[#This Row],[units_per_carton]]/bhpc_data[[#This Row],[box_per_europallet]],"")</f>
        <v>0</v>
      </c>
      <c r="AP15" s="568">
        <f>IFERROR(bhpc_data[[#This Row],[tot_order]]/bhpc_data[[#This Row],[units_per_carton]]/bhpc_data[[#This Row],[box_per_pallet]],"")</f>
        <v>0</v>
      </c>
      <c r="AQ15" s="581">
        <f>IFERROR(ROUNDUP(bhpc_data[[#This Row],[pallet_euro]],0),"")</f>
        <v>0</v>
      </c>
      <c r="AR15" s="581">
        <f>IFERROR(ROUNDUP(bhpc_data[[#This Row],[pallet]],0),"")</f>
        <v>0</v>
      </c>
      <c r="AV15" s="77" t="s">
        <v>174</v>
      </c>
    </row>
    <row r="16" spans="1:48">
      <c r="A16" s="77" t="s">
        <v>104</v>
      </c>
      <c r="B16" s="77" t="s">
        <v>37</v>
      </c>
      <c r="C16" s="77">
        <v>2</v>
      </c>
      <c r="D16" s="77" t="s">
        <v>49</v>
      </c>
      <c r="E16" s="79">
        <v>6291107161051</v>
      </c>
      <c r="G16" s="77" t="s">
        <v>105</v>
      </c>
      <c r="H16" s="78" t="s">
        <v>40</v>
      </c>
      <c r="I16" s="559">
        <v>12</v>
      </c>
      <c r="J16" s="559">
        <v>48</v>
      </c>
      <c r="K16" s="559">
        <v>8</v>
      </c>
      <c r="L16" s="559">
        <v>6</v>
      </c>
      <c r="M16" s="567">
        <v>48</v>
      </c>
      <c r="N16" s="77">
        <v>460</v>
      </c>
      <c r="O16" s="77">
        <v>340</v>
      </c>
      <c r="P16" s="77">
        <v>205</v>
      </c>
      <c r="Q16" s="77">
        <v>5.25</v>
      </c>
      <c r="R16" s="77">
        <v>6</v>
      </c>
      <c r="S16" s="77">
        <v>100</v>
      </c>
      <c r="T16" s="77">
        <v>150</v>
      </c>
      <c r="U16" s="77">
        <v>0</v>
      </c>
      <c r="V16" s="77">
        <v>0.55000000000000004</v>
      </c>
      <c r="W16" s="77">
        <v>0.45</v>
      </c>
      <c r="X16" s="77">
        <v>0</v>
      </c>
      <c r="Y16" s="77">
        <v>0</v>
      </c>
      <c r="Z16" s="78" t="s">
        <v>41</v>
      </c>
      <c r="AA16" s="348">
        <f>ROUNDUP(bhpc_data!$AI16/bhpc_data[[#This Row],[units_per_carton]],0)</f>
        <v>0</v>
      </c>
      <c r="AB16" s="348">
        <f>bhpc_data!$AJ16/bhpc_data[[#This Row],[units_per_carton]]</f>
        <v>0</v>
      </c>
      <c r="AC16" s="348">
        <f>(bhpc_data[[#This Row],[net_weight]]/bhpc_data[[#This Row],[units_per_carton]])*bhpc_data!$AK16*bhpc_data[[#This Row],[product1_weight]]</f>
        <v>0</v>
      </c>
      <c r="AD16" s="348">
        <f>(bhpc_data[[#This Row],[net_weight]]/bhpc_data[[#This Row],[units_per_carton]])*bhpc_data!$AK16*bhpc_data[[#This Row],[product2_weight]]</f>
        <v>0</v>
      </c>
      <c r="AE16" s="348">
        <f>(bhpc_data[[#This Row],[gross_weight]]/bhpc_data[[#This Row],[units_per_carton]])*bhpc_data!$AK16*bhpc_data[[#This Row],[product1_weight]]</f>
        <v>0</v>
      </c>
      <c r="AF16" s="348">
        <f>(bhpc_data[[#This Row],[gross_weight]]/bhpc_data[[#This Row],[units_per_carton]])*bhpc_data!$AK16*bhpc_data[[#This Row],[product2_weight]]</f>
        <v>0</v>
      </c>
      <c r="AG16" s="348">
        <f>(bhpc_data[[#This Row],[lenght]]*bhpc_data[[#This Row],[width]]*bhpc_data[[#This Row],[height]])/1000000000*bhpc_data!$AK16/bhpc_data[[#This Row],[units_per_carton]]*bhpc_data[[#This Row],[product1_weight]]</f>
        <v>0</v>
      </c>
      <c r="AH16" s="348">
        <f>(bhpc_data[[#This Row],[lenght]]*bhpc_data[[#This Row],[width]]*bhpc_data[[#This Row],[height]])/1000000000*bhpc_data!$AK16/bhpc_data[[#This Row],[units_per_carton]]*bhpc_data[[#This Row],[product2_weight]]</f>
        <v>0</v>
      </c>
      <c r="AI16" s="349">
        <f>SUMIF(productsSku,bhpc_data[[#This Row],[sku]],productsQty)+SUMIF(productsSku,bhpc_data[[#This Row],[sku]],productsDiscQty)</f>
        <v>0</v>
      </c>
      <c r="AJ16" s="349">
        <f>SUMIF(productsSku,bhpc_data[[#This Row],[sku]],productsFocQty)</f>
        <v>0</v>
      </c>
      <c r="AK16" s="350">
        <f>bhpc_data!$AI16+bhpc_data!$AJ16</f>
        <v>0</v>
      </c>
      <c r="AL16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6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6" s="551" t="str">
        <f>IF(bhpc_data[[#This Row],[hs_code]]="","",IF(bhpc_data[[#This Row],[hs_code]]="33030090",bhpc_data[[#This Row],[tot_order]]/bhpc_data[[#This Row],[units_per_carton]]*bhpc_data[[#This Row],[net_weight]],0))</f>
        <v/>
      </c>
      <c r="AO16" s="568">
        <f>IFERROR(bhpc_data[[#This Row],[tot_order]]/bhpc_data[[#This Row],[units_per_carton]]/bhpc_data[[#This Row],[box_per_europallet]],"")</f>
        <v>0</v>
      </c>
      <c r="AP16" s="568">
        <f>IFERROR(bhpc_data[[#This Row],[tot_order]]/bhpc_data[[#This Row],[units_per_carton]]/bhpc_data[[#This Row],[box_per_pallet]],"")</f>
        <v>0</v>
      </c>
      <c r="AQ16" s="581">
        <f>IFERROR(ROUNDUP(bhpc_data[[#This Row],[pallet_euro]],0),"")</f>
        <v>0</v>
      </c>
      <c r="AR16" s="581">
        <f>IFERROR(ROUNDUP(bhpc_data[[#This Row],[pallet]],0),"")</f>
        <v>0</v>
      </c>
      <c r="AV16" s="77" t="s">
        <v>176</v>
      </c>
    </row>
    <row r="17" spans="1:48">
      <c r="A17" s="77" t="s">
        <v>106</v>
      </c>
      <c r="B17" s="77" t="s">
        <v>37</v>
      </c>
      <c r="C17" s="77">
        <v>2</v>
      </c>
      <c r="D17" s="77" t="s">
        <v>49</v>
      </c>
      <c r="E17" s="79">
        <v>6291107161068</v>
      </c>
      <c r="G17" s="77" t="s">
        <v>107</v>
      </c>
      <c r="H17" s="78" t="s">
        <v>40</v>
      </c>
      <c r="I17" s="559">
        <v>12</v>
      </c>
      <c r="J17" s="559">
        <v>48</v>
      </c>
      <c r="K17" s="559">
        <v>8</v>
      </c>
      <c r="L17" s="559">
        <v>6</v>
      </c>
      <c r="M17" s="567">
        <v>48</v>
      </c>
      <c r="N17" s="77">
        <v>460</v>
      </c>
      <c r="O17" s="77">
        <v>340</v>
      </c>
      <c r="P17" s="77">
        <v>205</v>
      </c>
      <c r="Q17" s="77">
        <v>5.25</v>
      </c>
      <c r="R17" s="77">
        <v>6</v>
      </c>
      <c r="S17" s="77">
        <v>100</v>
      </c>
      <c r="T17" s="77">
        <v>150</v>
      </c>
      <c r="U17" s="77">
        <v>0</v>
      </c>
      <c r="V17" s="77">
        <v>0.55000000000000004</v>
      </c>
      <c r="W17" s="77">
        <v>0.45</v>
      </c>
      <c r="X17" s="77">
        <v>0</v>
      </c>
      <c r="Y17" s="77">
        <v>0</v>
      </c>
      <c r="Z17" s="78" t="s">
        <v>41</v>
      </c>
      <c r="AA17" s="351">
        <f>ROUNDUP(bhpc_data!$AI17/bhpc_data[[#This Row],[units_per_carton]],0)</f>
        <v>0</v>
      </c>
      <c r="AB17" s="351">
        <f>bhpc_data!$AJ17/bhpc_data[[#This Row],[units_per_carton]]</f>
        <v>0</v>
      </c>
      <c r="AC17" s="351">
        <f>(bhpc_data[[#This Row],[net_weight]]/bhpc_data[[#This Row],[units_per_carton]])*bhpc_data!$AK17*bhpc_data[[#This Row],[product1_weight]]</f>
        <v>0</v>
      </c>
      <c r="AD17" s="351">
        <f>(bhpc_data[[#This Row],[net_weight]]/bhpc_data[[#This Row],[units_per_carton]])*bhpc_data!$AK17*bhpc_data[[#This Row],[product2_weight]]</f>
        <v>0</v>
      </c>
      <c r="AE17" s="351">
        <f>(bhpc_data[[#This Row],[gross_weight]]/bhpc_data[[#This Row],[units_per_carton]])*bhpc_data!$AK17*bhpc_data[[#This Row],[product1_weight]]</f>
        <v>0</v>
      </c>
      <c r="AF17" s="351">
        <f>(bhpc_data[[#This Row],[gross_weight]]/bhpc_data[[#This Row],[units_per_carton]])*bhpc_data!$AK17*bhpc_data[[#This Row],[product2_weight]]</f>
        <v>0</v>
      </c>
      <c r="AG17" s="351">
        <f>(bhpc_data[[#This Row],[lenght]]*bhpc_data[[#This Row],[width]]*bhpc_data[[#This Row],[height]])/1000000000*bhpc_data!$AK17/bhpc_data[[#This Row],[units_per_carton]]*bhpc_data[[#This Row],[product1_weight]]</f>
        <v>0</v>
      </c>
      <c r="AH17" s="351">
        <f>(bhpc_data[[#This Row],[lenght]]*bhpc_data[[#This Row],[width]]*bhpc_data[[#This Row],[height]])/1000000000*bhpc_data!$AK17/bhpc_data[[#This Row],[units_per_carton]]*bhpc_data[[#This Row],[product2_weight]]</f>
        <v>0</v>
      </c>
      <c r="AI17" s="352">
        <f>SUMIF(productsSku,bhpc_data[[#This Row],[sku]],productsQty)+SUMIF(productsSku,bhpc_data[[#This Row],[sku]],productsDiscQty)</f>
        <v>0</v>
      </c>
      <c r="AJ17" s="352">
        <f>SUMIF(productsSku,bhpc_data[[#This Row],[sku]],productsFocQty)</f>
        <v>0</v>
      </c>
      <c r="AK17" s="353">
        <f>bhpc_data!$AI17+bhpc_data!$AJ17</f>
        <v>0</v>
      </c>
      <c r="AL17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7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7" s="551" t="str">
        <f>IF(bhpc_data[[#This Row],[hs_code]]="","",IF(bhpc_data[[#This Row],[hs_code]]="33030090",bhpc_data[[#This Row],[tot_order]]/bhpc_data[[#This Row],[units_per_carton]]*bhpc_data[[#This Row],[net_weight]],0))</f>
        <v/>
      </c>
      <c r="AO17" s="568">
        <f>IFERROR(bhpc_data[[#This Row],[tot_order]]/bhpc_data[[#This Row],[units_per_carton]]/bhpc_data[[#This Row],[box_per_europallet]],"")</f>
        <v>0</v>
      </c>
      <c r="AP17" s="568">
        <f>IFERROR(bhpc_data[[#This Row],[tot_order]]/bhpc_data[[#This Row],[units_per_carton]]/bhpc_data[[#This Row],[box_per_pallet]],"")</f>
        <v>0</v>
      </c>
      <c r="AQ17" s="581">
        <f>IFERROR(ROUNDUP(bhpc_data[[#This Row],[pallet_euro]],0),"")</f>
        <v>0</v>
      </c>
      <c r="AR17" s="581">
        <f>IFERROR(ROUNDUP(bhpc_data[[#This Row],[pallet]],0),"")</f>
        <v>0</v>
      </c>
      <c r="AV17" s="77" t="s">
        <v>178</v>
      </c>
    </row>
    <row r="18" spans="1:48">
      <c r="A18" s="77" t="s">
        <v>57</v>
      </c>
      <c r="B18" s="77" t="s">
        <v>37</v>
      </c>
      <c r="C18" s="77">
        <v>3</v>
      </c>
      <c r="D18" s="77" t="s">
        <v>38</v>
      </c>
      <c r="E18" s="79"/>
      <c r="G18" s="77" t="s">
        <v>58</v>
      </c>
      <c r="H18" s="78" t="s">
        <v>40</v>
      </c>
      <c r="I18" s="559">
        <v>12</v>
      </c>
      <c r="J18" s="559">
        <v>48</v>
      </c>
      <c r="K18" s="559">
        <v>8</v>
      </c>
      <c r="L18" s="559">
        <v>6</v>
      </c>
      <c r="N18" s="77">
        <v>445</v>
      </c>
      <c r="O18" s="77">
        <v>365</v>
      </c>
      <c r="P18" s="77">
        <v>240</v>
      </c>
      <c r="Q18" s="77">
        <v>6.17</v>
      </c>
      <c r="R18" s="77">
        <v>6.77</v>
      </c>
      <c r="S18" s="77">
        <v>50</v>
      </c>
      <c r="T18" s="77">
        <v>175</v>
      </c>
      <c r="U18" s="77">
        <v>50</v>
      </c>
      <c r="V18" s="77">
        <v>0.55000000000000004</v>
      </c>
      <c r="W18" s="77">
        <v>0.45</v>
      </c>
      <c r="X18" s="77">
        <v>0</v>
      </c>
      <c r="Y18" s="77">
        <v>0</v>
      </c>
      <c r="Z18" s="78" t="s">
        <v>41</v>
      </c>
      <c r="AA18" s="348">
        <f>ROUNDUP(bhpc_data!$AI18/bhpc_data[[#This Row],[units_per_carton]],0)</f>
        <v>0</v>
      </c>
      <c r="AB18" s="348">
        <f>bhpc_data!$AJ18/bhpc_data[[#This Row],[units_per_carton]]</f>
        <v>0</v>
      </c>
      <c r="AC18" s="348">
        <f>(bhpc_data[[#This Row],[net_weight]]/bhpc_data[[#This Row],[units_per_carton]])*bhpc_data!$AK18*bhpc_data[[#This Row],[product1_weight]]</f>
        <v>0</v>
      </c>
      <c r="AD18" s="348">
        <f>(bhpc_data[[#This Row],[net_weight]]/bhpc_data[[#This Row],[units_per_carton]])*bhpc_data!$AK18*bhpc_data[[#This Row],[product2_weight]]</f>
        <v>0</v>
      </c>
      <c r="AE18" s="348">
        <f>(bhpc_data[[#This Row],[gross_weight]]/bhpc_data[[#This Row],[units_per_carton]])*bhpc_data!$AK18*bhpc_data[[#This Row],[product1_weight]]</f>
        <v>0</v>
      </c>
      <c r="AF18" s="348">
        <f>(bhpc_data[[#This Row],[gross_weight]]/bhpc_data[[#This Row],[units_per_carton]])*bhpc_data!$AK18*bhpc_data[[#This Row],[product2_weight]]</f>
        <v>0</v>
      </c>
      <c r="AG18" s="348">
        <f>(bhpc_data[[#This Row],[lenght]]*bhpc_data[[#This Row],[width]]*bhpc_data[[#This Row],[height]])/1000000000*bhpc_data!$AK18/bhpc_data[[#This Row],[units_per_carton]]*bhpc_data[[#This Row],[product1_weight]]</f>
        <v>0</v>
      </c>
      <c r="AH18" s="348">
        <f>(bhpc_data[[#This Row],[lenght]]*bhpc_data[[#This Row],[width]]*bhpc_data[[#This Row],[height]])/1000000000*bhpc_data!$AK18/bhpc_data[[#This Row],[units_per_carton]]*bhpc_data[[#This Row],[product2_weight]]</f>
        <v>0</v>
      </c>
      <c r="AI18" s="349">
        <f>SUMIF(productsSku,bhpc_data[[#This Row],[sku]],productsQty)+SUMIF(productsSku,bhpc_data[[#This Row],[sku]],productsDiscQty)</f>
        <v>0</v>
      </c>
      <c r="AJ18" s="349">
        <f>SUMIF(productsSku,bhpc_data[[#This Row],[sku]],productsFocQty)</f>
        <v>0</v>
      </c>
      <c r="AK18" s="350">
        <f>bhpc_data!$AI18+bhpc_data!$AJ18</f>
        <v>0</v>
      </c>
      <c r="AL18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8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8" s="551" t="str">
        <f>IF(bhpc_data[[#This Row],[hs_code]]="","",IF(bhpc_data[[#This Row],[hs_code]]="33030090",bhpc_data[[#This Row],[tot_order]]/bhpc_data[[#This Row],[units_per_carton]]*bhpc_data[[#This Row],[net_weight]],0))</f>
        <v/>
      </c>
      <c r="AO18" s="568">
        <f>IFERROR(bhpc_data[[#This Row],[tot_order]]/bhpc_data[[#This Row],[units_per_carton]]/bhpc_data[[#This Row],[box_per_europallet]],"")</f>
        <v>0</v>
      </c>
      <c r="AP18" s="568" t="str">
        <f>IFERROR(bhpc_data[[#This Row],[tot_order]]/bhpc_data[[#This Row],[units_per_carton]]/bhpc_data[[#This Row],[box_per_pallet]],"")</f>
        <v/>
      </c>
      <c r="AQ18" s="581">
        <f>IFERROR(ROUNDUP(bhpc_data[[#This Row],[pallet_euro]],0),"")</f>
        <v>0</v>
      </c>
      <c r="AR18" s="581" t="str">
        <f>IFERROR(ROUNDUP(bhpc_data[[#This Row],[pallet]],0),"")</f>
        <v/>
      </c>
      <c r="AV18" s="77" t="s">
        <v>84</v>
      </c>
    </row>
    <row r="19" spans="1:48">
      <c r="A19" s="77" t="s">
        <v>59</v>
      </c>
      <c r="B19" s="77" t="s">
        <v>37</v>
      </c>
      <c r="C19" s="77">
        <v>3</v>
      </c>
      <c r="D19" s="77" t="s">
        <v>38</v>
      </c>
      <c r="E19" s="79"/>
      <c r="G19" s="77" t="s">
        <v>60</v>
      </c>
      <c r="H19" s="78" t="s">
        <v>40</v>
      </c>
      <c r="I19" s="559">
        <v>12</v>
      </c>
      <c r="J19" s="559">
        <v>48</v>
      </c>
      <c r="K19" s="559">
        <v>8</v>
      </c>
      <c r="L19" s="559">
        <v>6</v>
      </c>
      <c r="N19" s="77">
        <v>445</v>
      </c>
      <c r="O19" s="77">
        <v>365</v>
      </c>
      <c r="P19" s="77">
        <v>240</v>
      </c>
      <c r="Q19" s="77">
        <v>6.17</v>
      </c>
      <c r="R19" s="77">
        <v>6.77</v>
      </c>
      <c r="S19" s="77">
        <v>50</v>
      </c>
      <c r="T19" s="77">
        <v>175</v>
      </c>
      <c r="U19" s="77">
        <v>50</v>
      </c>
      <c r="V19" s="77">
        <v>0.55000000000000004</v>
      </c>
      <c r="W19" s="77">
        <v>0.45</v>
      </c>
      <c r="X19" s="77">
        <v>0</v>
      </c>
      <c r="Y19" s="77">
        <v>0</v>
      </c>
      <c r="Z19" s="78" t="s">
        <v>41</v>
      </c>
      <c r="AA19" s="351">
        <f>ROUNDUP(bhpc_data!$AI19/bhpc_data[[#This Row],[units_per_carton]],0)</f>
        <v>0</v>
      </c>
      <c r="AB19" s="351">
        <f>bhpc_data!$AJ19/bhpc_data[[#This Row],[units_per_carton]]</f>
        <v>0</v>
      </c>
      <c r="AC19" s="351">
        <f>(bhpc_data[[#This Row],[net_weight]]/bhpc_data[[#This Row],[units_per_carton]])*bhpc_data!$AK19*bhpc_data[[#This Row],[product1_weight]]</f>
        <v>0</v>
      </c>
      <c r="AD19" s="351">
        <f>(bhpc_data[[#This Row],[net_weight]]/bhpc_data[[#This Row],[units_per_carton]])*bhpc_data!$AK19*bhpc_data[[#This Row],[product2_weight]]</f>
        <v>0</v>
      </c>
      <c r="AE19" s="351">
        <f>(bhpc_data[[#This Row],[gross_weight]]/bhpc_data[[#This Row],[units_per_carton]])*bhpc_data!$AK19*bhpc_data[[#This Row],[product1_weight]]</f>
        <v>0</v>
      </c>
      <c r="AF19" s="351">
        <f>(bhpc_data[[#This Row],[gross_weight]]/bhpc_data[[#This Row],[units_per_carton]])*bhpc_data!$AK19*bhpc_data[[#This Row],[product2_weight]]</f>
        <v>0</v>
      </c>
      <c r="AG19" s="351">
        <f>(bhpc_data[[#This Row],[lenght]]*bhpc_data[[#This Row],[width]]*bhpc_data[[#This Row],[height]])/1000000000*bhpc_data!$AK19/bhpc_data[[#This Row],[units_per_carton]]*bhpc_data[[#This Row],[product1_weight]]</f>
        <v>0</v>
      </c>
      <c r="AH19" s="351">
        <f>(bhpc_data[[#This Row],[lenght]]*bhpc_data[[#This Row],[width]]*bhpc_data[[#This Row],[height]])/1000000000*bhpc_data!$AK19/bhpc_data[[#This Row],[units_per_carton]]*bhpc_data[[#This Row],[product2_weight]]</f>
        <v>0</v>
      </c>
      <c r="AI19" s="352">
        <f>SUMIF(productsSku,bhpc_data[[#This Row],[sku]],productsQty)+SUMIF(productsSku,bhpc_data[[#This Row],[sku]],productsDiscQty)</f>
        <v>0</v>
      </c>
      <c r="AJ19" s="352">
        <f>SUMIF(productsSku,bhpc_data[[#This Row],[sku]],productsFocQty)</f>
        <v>0</v>
      </c>
      <c r="AK19" s="353">
        <f>bhpc_data!$AI19+bhpc_data!$AJ19</f>
        <v>0</v>
      </c>
      <c r="AL19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9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9" s="551" t="str">
        <f>IF(bhpc_data[[#This Row],[hs_code]]="","",IF(bhpc_data[[#This Row],[hs_code]]="33030090",bhpc_data[[#This Row],[tot_order]]/bhpc_data[[#This Row],[units_per_carton]]*bhpc_data[[#This Row],[net_weight]],0))</f>
        <v/>
      </c>
      <c r="AO19" s="568">
        <f>IFERROR(bhpc_data[[#This Row],[tot_order]]/bhpc_data[[#This Row],[units_per_carton]]/bhpc_data[[#This Row],[box_per_europallet]],"")</f>
        <v>0</v>
      </c>
      <c r="AP19" s="568" t="str">
        <f>IFERROR(bhpc_data[[#This Row],[tot_order]]/bhpc_data[[#This Row],[units_per_carton]]/bhpc_data[[#This Row],[box_per_pallet]],"")</f>
        <v/>
      </c>
      <c r="AQ19" s="581">
        <f>IFERROR(ROUNDUP(bhpc_data[[#This Row],[pallet_euro]],0),"")</f>
        <v>0</v>
      </c>
      <c r="AR19" s="581" t="str">
        <f>IFERROR(ROUNDUP(bhpc_data[[#This Row],[pallet]],0),"")</f>
        <v/>
      </c>
      <c r="AV19" s="77" t="s">
        <v>86</v>
      </c>
    </row>
    <row r="20" spans="1:48">
      <c r="A20" s="77" t="s">
        <v>61</v>
      </c>
      <c r="B20" s="77" t="s">
        <v>37</v>
      </c>
      <c r="C20" s="77">
        <v>3</v>
      </c>
      <c r="D20" s="77" t="s">
        <v>38</v>
      </c>
      <c r="E20" s="79"/>
      <c r="G20" s="77" t="s">
        <v>62</v>
      </c>
      <c r="H20" s="78" t="s">
        <v>40</v>
      </c>
      <c r="I20" s="559">
        <v>12</v>
      </c>
      <c r="J20" s="559">
        <v>48</v>
      </c>
      <c r="K20" s="559">
        <v>8</v>
      </c>
      <c r="L20" s="559">
        <v>6</v>
      </c>
      <c r="N20" s="77">
        <v>445</v>
      </c>
      <c r="O20" s="77">
        <v>365</v>
      </c>
      <c r="P20" s="77">
        <v>240</v>
      </c>
      <c r="Q20" s="77">
        <v>6.17</v>
      </c>
      <c r="R20" s="77">
        <v>6.77</v>
      </c>
      <c r="S20" s="77">
        <v>50</v>
      </c>
      <c r="T20" s="77">
        <v>175</v>
      </c>
      <c r="U20" s="77">
        <v>50</v>
      </c>
      <c r="V20" s="77">
        <v>0.55000000000000004</v>
      </c>
      <c r="W20" s="77">
        <v>0.45</v>
      </c>
      <c r="X20" s="77">
        <v>0</v>
      </c>
      <c r="Y20" s="77">
        <v>0</v>
      </c>
      <c r="Z20" s="78" t="s">
        <v>41</v>
      </c>
      <c r="AA20" s="348">
        <f>ROUNDUP(bhpc_data!$AI20/bhpc_data[[#This Row],[units_per_carton]],0)</f>
        <v>0</v>
      </c>
      <c r="AB20" s="348">
        <f>bhpc_data!$AJ20/bhpc_data[[#This Row],[units_per_carton]]</f>
        <v>0</v>
      </c>
      <c r="AC20" s="348">
        <f>(bhpc_data[[#This Row],[net_weight]]/bhpc_data[[#This Row],[units_per_carton]])*bhpc_data!$AK20*bhpc_data[[#This Row],[product1_weight]]</f>
        <v>0</v>
      </c>
      <c r="AD20" s="348">
        <f>(bhpc_data[[#This Row],[net_weight]]/bhpc_data[[#This Row],[units_per_carton]])*bhpc_data!$AK20*bhpc_data[[#This Row],[product2_weight]]</f>
        <v>0</v>
      </c>
      <c r="AE20" s="348">
        <f>(bhpc_data[[#This Row],[gross_weight]]/bhpc_data[[#This Row],[units_per_carton]])*bhpc_data!$AK20*bhpc_data[[#This Row],[product1_weight]]</f>
        <v>0</v>
      </c>
      <c r="AF20" s="348">
        <f>(bhpc_data[[#This Row],[gross_weight]]/bhpc_data[[#This Row],[units_per_carton]])*bhpc_data!$AK20*bhpc_data[[#This Row],[product2_weight]]</f>
        <v>0</v>
      </c>
      <c r="AG20" s="348">
        <f>(bhpc_data[[#This Row],[lenght]]*bhpc_data[[#This Row],[width]]*bhpc_data[[#This Row],[height]])/1000000000*bhpc_data!$AK20/bhpc_data[[#This Row],[units_per_carton]]*bhpc_data[[#This Row],[product1_weight]]</f>
        <v>0</v>
      </c>
      <c r="AH20" s="348">
        <f>(bhpc_data[[#This Row],[lenght]]*bhpc_data[[#This Row],[width]]*bhpc_data[[#This Row],[height]])/1000000000*bhpc_data!$AK20/bhpc_data[[#This Row],[units_per_carton]]*bhpc_data[[#This Row],[product2_weight]]</f>
        <v>0</v>
      </c>
      <c r="AI20" s="349">
        <f>SUMIF(productsSku,bhpc_data[[#This Row],[sku]],productsQty)+SUMIF(productsSku,bhpc_data[[#This Row],[sku]],productsDiscQty)</f>
        <v>0</v>
      </c>
      <c r="AJ20" s="349">
        <f>SUMIF(productsSku,bhpc_data[[#This Row],[sku]],productsFocQty)</f>
        <v>0</v>
      </c>
      <c r="AK20" s="350">
        <f>bhpc_data!$AI20+bhpc_data!$AJ20</f>
        <v>0</v>
      </c>
      <c r="AL20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0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0" s="551" t="str">
        <f>IF(bhpc_data[[#This Row],[hs_code]]="","",IF(bhpc_data[[#This Row],[hs_code]]="33030090",bhpc_data[[#This Row],[tot_order]]/bhpc_data[[#This Row],[units_per_carton]]*bhpc_data[[#This Row],[net_weight]],0))</f>
        <v/>
      </c>
      <c r="AO20" s="568">
        <f>IFERROR(bhpc_data[[#This Row],[tot_order]]/bhpc_data[[#This Row],[units_per_carton]]/bhpc_data[[#This Row],[box_per_europallet]],"")</f>
        <v>0</v>
      </c>
      <c r="AP20" s="568" t="str">
        <f>IFERROR(bhpc_data[[#This Row],[tot_order]]/bhpc_data[[#This Row],[units_per_carton]]/bhpc_data[[#This Row],[box_per_pallet]],"")</f>
        <v/>
      </c>
      <c r="AQ20" s="581">
        <f>IFERROR(ROUNDUP(bhpc_data[[#This Row],[pallet_euro]],0),"")</f>
        <v>0</v>
      </c>
      <c r="AR20" s="581" t="str">
        <f>IFERROR(ROUNDUP(bhpc_data[[#This Row],[pallet]],0),"")</f>
        <v/>
      </c>
      <c r="AV20" s="77" t="s">
        <v>88</v>
      </c>
    </row>
    <row r="21" spans="1:48">
      <c r="A21" s="77" t="s">
        <v>63</v>
      </c>
      <c r="B21" s="77" t="s">
        <v>37</v>
      </c>
      <c r="C21" s="77">
        <v>3</v>
      </c>
      <c r="D21" s="77" t="s">
        <v>38</v>
      </c>
      <c r="E21" s="79"/>
      <c r="G21" s="77" t="s">
        <v>64</v>
      </c>
      <c r="H21" s="78" t="s">
        <v>40</v>
      </c>
      <c r="I21" s="559">
        <v>12</v>
      </c>
      <c r="J21" s="559">
        <v>48</v>
      </c>
      <c r="K21" s="559">
        <v>8</v>
      </c>
      <c r="L21" s="559">
        <v>6</v>
      </c>
      <c r="N21" s="77">
        <v>445</v>
      </c>
      <c r="O21" s="77">
        <v>365</v>
      </c>
      <c r="P21" s="77">
        <v>240</v>
      </c>
      <c r="Q21" s="77">
        <v>6.17</v>
      </c>
      <c r="R21" s="77">
        <v>6.77</v>
      </c>
      <c r="S21" s="77">
        <v>50</v>
      </c>
      <c r="T21" s="77">
        <v>175</v>
      </c>
      <c r="U21" s="77">
        <v>50</v>
      </c>
      <c r="V21" s="77">
        <v>0.55000000000000004</v>
      </c>
      <c r="W21" s="77">
        <v>0.45</v>
      </c>
      <c r="X21" s="77">
        <v>0</v>
      </c>
      <c r="Y21" s="77">
        <v>0</v>
      </c>
      <c r="Z21" s="78" t="s">
        <v>41</v>
      </c>
      <c r="AA21" s="351">
        <f>ROUNDUP(bhpc_data!$AI21/bhpc_data[[#This Row],[units_per_carton]],0)</f>
        <v>0</v>
      </c>
      <c r="AB21" s="351">
        <f>bhpc_data!$AJ21/bhpc_data[[#This Row],[units_per_carton]]</f>
        <v>0</v>
      </c>
      <c r="AC21" s="351">
        <f>(bhpc_data[[#This Row],[net_weight]]/bhpc_data[[#This Row],[units_per_carton]])*bhpc_data!$AK21*bhpc_data[[#This Row],[product1_weight]]</f>
        <v>0</v>
      </c>
      <c r="AD21" s="351">
        <f>(bhpc_data[[#This Row],[net_weight]]/bhpc_data[[#This Row],[units_per_carton]])*bhpc_data!$AK21*bhpc_data[[#This Row],[product2_weight]]</f>
        <v>0</v>
      </c>
      <c r="AE21" s="351">
        <f>(bhpc_data[[#This Row],[gross_weight]]/bhpc_data[[#This Row],[units_per_carton]])*bhpc_data!$AK21*bhpc_data[[#This Row],[product1_weight]]</f>
        <v>0</v>
      </c>
      <c r="AF21" s="351">
        <f>(bhpc_data[[#This Row],[gross_weight]]/bhpc_data[[#This Row],[units_per_carton]])*bhpc_data!$AK21*bhpc_data[[#This Row],[product2_weight]]</f>
        <v>0</v>
      </c>
      <c r="AG21" s="351">
        <f>(bhpc_data[[#This Row],[lenght]]*bhpc_data[[#This Row],[width]]*bhpc_data[[#This Row],[height]])/1000000000*bhpc_data!$AK21/bhpc_data[[#This Row],[units_per_carton]]*bhpc_data[[#This Row],[product1_weight]]</f>
        <v>0</v>
      </c>
      <c r="AH21" s="351">
        <f>(bhpc_data[[#This Row],[lenght]]*bhpc_data[[#This Row],[width]]*bhpc_data[[#This Row],[height]])/1000000000*bhpc_data!$AK21/bhpc_data[[#This Row],[units_per_carton]]*bhpc_data[[#This Row],[product2_weight]]</f>
        <v>0</v>
      </c>
      <c r="AI21" s="352">
        <f>SUMIF(productsSku,bhpc_data[[#This Row],[sku]],productsQty)+SUMIF(productsSku,bhpc_data[[#This Row],[sku]],productsDiscQty)</f>
        <v>0</v>
      </c>
      <c r="AJ21" s="352">
        <f>SUMIF(productsSku,bhpc_data[[#This Row],[sku]],productsFocQty)</f>
        <v>0</v>
      </c>
      <c r="AK21" s="353">
        <f>bhpc_data!$AI21+bhpc_data!$AJ21</f>
        <v>0</v>
      </c>
      <c r="AL21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1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1" s="551" t="str">
        <f>IF(bhpc_data[[#This Row],[hs_code]]="","",IF(bhpc_data[[#This Row],[hs_code]]="33030090",bhpc_data[[#This Row],[tot_order]]/bhpc_data[[#This Row],[units_per_carton]]*bhpc_data[[#This Row],[net_weight]],0))</f>
        <v/>
      </c>
      <c r="AO21" s="568">
        <f>IFERROR(bhpc_data[[#This Row],[tot_order]]/bhpc_data[[#This Row],[units_per_carton]]/bhpc_data[[#This Row],[box_per_europallet]],"")</f>
        <v>0</v>
      </c>
      <c r="AP21" s="568" t="str">
        <f>IFERROR(bhpc_data[[#This Row],[tot_order]]/bhpc_data[[#This Row],[units_per_carton]]/bhpc_data[[#This Row],[box_per_pallet]],"")</f>
        <v/>
      </c>
      <c r="AQ21" s="581">
        <f>IFERROR(ROUNDUP(bhpc_data[[#This Row],[pallet_euro]],0),"")</f>
        <v>0</v>
      </c>
      <c r="AR21" s="581" t="str">
        <f>IFERROR(ROUNDUP(bhpc_data[[#This Row],[pallet]],0),"")</f>
        <v/>
      </c>
      <c r="AV21" s="77" t="s">
        <v>90</v>
      </c>
    </row>
    <row r="22" spans="1:48">
      <c r="A22" s="77" t="s">
        <v>65</v>
      </c>
      <c r="B22" s="77" t="s">
        <v>37</v>
      </c>
      <c r="C22" s="77">
        <v>3</v>
      </c>
      <c r="D22" s="77" t="s">
        <v>49</v>
      </c>
      <c r="E22" s="79"/>
      <c r="G22" s="77" t="s">
        <v>66</v>
      </c>
      <c r="H22" s="78" t="s">
        <v>40</v>
      </c>
      <c r="I22" s="559">
        <v>12</v>
      </c>
      <c r="J22" s="559">
        <v>48</v>
      </c>
      <c r="K22" s="559">
        <v>8</v>
      </c>
      <c r="L22" s="559">
        <v>6</v>
      </c>
      <c r="N22" s="77">
        <v>445</v>
      </c>
      <c r="O22" s="77">
        <v>365</v>
      </c>
      <c r="P22" s="77">
        <v>240</v>
      </c>
      <c r="Q22" s="77">
        <v>5.7</v>
      </c>
      <c r="R22" s="77">
        <v>6.3</v>
      </c>
      <c r="S22" s="77">
        <v>50</v>
      </c>
      <c r="T22" s="77">
        <v>150</v>
      </c>
      <c r="U22" s="77">
        <v>50</v>
      </c>
      <c r="V22" s="77">
        <v>0.55000000000000004</v>
      </c>
      <c r="W22" s="77">
        <v>0.45</v>
      </c>
      <c r="X22" s="77">
        <v>0</v>
      </c>
      <c r="Y22" s="77">
        <v>0</v>
      </c>
      <c r="Z22" s="78" t="s">
        <v>41</v>
      </c>
      <c r="AA22" s="348">
        <f>ROUNDUP(bhpc_data!$AI22/bhpc_data[[#This Row],[units_per_carton]],0)</f>
        <v>0</v>
      </c>
      <c r="AB22" s="348">
        <f>bhpc_data!$AJ22/bhpc_data[[#This Row],[units_per_carton]]</f>
        <v>0</v>
      </c>
      <c r="AC22" s="348">
        <f>(bhpc_data[[#This Row],[net_weight]]/bhpc_data[[#This Row],[units_per_carton]])*bhpc_data!$AK22*bhpc_data[[#This Row],[product1_weight]]</f>
        <v>0</v>
      </c>
      <c r="AD22" s="348">
        <f>(bhpc_data[[#This Row],[net_weight]]/bhpc_data[[#This Row],[units_per_carton]])*bhpc_data!$AK22*bhpc_data[[#This Row],[product2_weight]]</f>
        <v>0</v>
      </c>
      <c r="AE22" s="348">
        <f>(bhpc_data[[#This Row],[gross_weight]]/bhpc_data[[#This Row],[units_per_carton]])*bhpc_data!$AK22*bhpc_data[[#This Row],[product1_weight]]</f>
        <v>0</v>
      </c>
      <c r="AF22" s="348">
        <f>(bhpc_data[[#This Row],[gross_weight]]/bhpc_data[[#This Row],[units_per_carton]])*bhpc_data!$AK22*bhpc_data[[#This Row],[product2_weight]]</f>
        <v>0</v>
      </c>
      <c r="AG22" s="348">
        <f>(bhpc_data[[#This Row],[lenght]]*bhpc_data[[#This Row],[width]]*bhpc_data[[#This Row],[height]])/1000000000*bhpc_data!$AK22/bhpc_data[[#This Row],[units_per_carton]]*bhpc_data[[#This Row],[product1_weight]]</f>
        <v>0</v>
      </c>
      <c r="AH22" s="348">
        <f>(bhpc_data[[#This Row],[lenght]]*bhpc_data[[#This Row],[width]]*bhpc_data[[#This Row],[height]])/1000000000*bhpc_data!$AK22/bhpc_data[[#This Row],[units_per_carton]]*bhpc_data[[#This Row],[product2_weight]]</f>
        <v>0</v>
      </c>
      <c r="AI22" s="349">
        <f>SUMIF(productsSku,bhpc_data[[#This Row],[sku]],productsQty)+SUMIF(productsSku,bhpc_data[[#This Row],[sku]],productsDiscQty)</f>
        <v>0</v>
      </c>
      <c r="AJ22" s="349">
        <f>SUMIF(productsSku,bhpc_data[[#This Row],[sku]],productsFocQty)</f>
        <v>0</v>
      </c>
      <c r="AK22" s="350">
        <f>bhpc_data!$AI22+bhpc_data!$AJ22</f>
        <v>0</v>
      </c>
      <c r="AL22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2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2" s="551" t="str">
        <f>IF(bhpc_data[[#This Row],[hs_code]]="","",IF(bhpc_data[[#This Row],[hs_code]]="33030090",bhpc_data[[#This Row],[tot_order]]/bhpc_data[[#This Row],[units_per_carton]]*bhpc_data[[#This Row],[net_weight]],0))</f>
        <v/>
      </c>
      <c r="AO22" s="568">
        <f>IFERROR(bhpc_data[[#This Row],[tot_order]]/bhpc_data[[#This Row],[units_per_carton]]/bhpc_data[[#This Row],[box_per_europallet]],"")</f>
        <v>0</v>
      </c>
      <c r="AP22" s="568" t="str">
        <f>IFERROR(bhpc_data[[#This Row],[tot_order]]/bhpc_data[[#This Row],[units_per_carton]]/bhpc_data[[#This Row],[box_per_pallet]],"")</f>
        <v/>
      </c>
      <c r="AQ22" s="581">
        <f>IFERROR(ROUNDUP(bhpc_data[[#This Row],[pallet_euro]],0),"")</f>
        <v>0</v>
      </c>
      <c r="AR22" s="581" t="str">
        <f>IFERROR(ROUNDUP(bhpc_data[[#This Row],[pallet]],0),"")</f>
        <v/>
      </c>
      <c r="AV22" s="77" t="s">
        <v>119</v>
      </c>
    </row>
    <row r="23" spans="1:48">
      <c r="A23" s="77" t="s">
        <v>67</v>
      </c>
      <c r="B23" s="77" t="s">
        <v>37</v>
      </c>
      <c r="C23" s="77">
        <v>3</v>
      </c>
      <c r="D23" s="77" t="s">
        <v>49</v>
      </c>
      <c r="E23" s="79"/>
      <c r="G23" s="77" t="s">
        <v>68</v>
      </c>
      <c r="H23" s="78" t="s">
        <v>40</v>
      </c>
      <c r="I23" s="559">
        <v>12</v>
      </c>
      <c r="J23" s="559">
        <v>48</v>
      </c>
      <c r="K23" s="559">
        <v>8</v>
      </c>
      <c r="L23" s="559">
        <v>6</v>
      </c>
      <c r="N23" s="77">
        <v>445</v>
      </c>
      <c r="O23" s="77">
        <v>365</v>
      </c>
      <c r="P23" s="77">
        <v>240</v>
      </c>
      <c r="Q23" s="77">
        <v>5.7</v>
      </c>
      <c r="R23" s="77">
        <v>6.3</v>
      </c>
      <c r="S23" s="77">
        <v>50</v>
      </c>
      <c r="T23" s="77">
        <v>150</v>
      </c>
      <c r="U23" s="77">
        <v>50</v>
      </c>
      <c r="V23" s="77">
        <v>0.55000000000000004</v>
      </c>
      <c r="W23" s="77">
        <v>0.45</v>
      </c>
      <c r="X23" s="77">
        <v>0</v>
      </c>
      <c r="Y23" s="77">
        <v>0</v>
      </c>
      <c r="Z23" s="78" t="s">
        <v>41</v>
      </c>
      <c r="AA23" s="351">
        <f>ROUNDUP(bhpc_data!$AI23/bhpc_data[[#This Row],[units_per_carton]],0)</f>
        <v>0</v>
      </c>
      <c r="AB23" s="351">
        <f>bhpc_data!$AJ23/bhpc_data[[#This Row],[units_per_carton]]</f>
        <v>0</v>
      </c>
      <c r="AC23" s="351">
        <f>(bhpc_data[[#This Row],[net_weight]]/bhpc_data[[#This Row],[units_per_carton]])*bhpc_data!$AK23*bhpc_data[[#This Row],[product1_weight]]</f>
        <v>0</v>
      </c>
      <c r="AD23" s="351">
        <f>(bhpc_data[[#This Row],[net_weight]]/bhpc_data[[#This Row],[units_per_carton]])*bhpc_data!$AK23*bhpc_data[[#This Row],[product2_weight]]</f>
        <v>0</v>
      </c>
      <c r="AE23" s="351">
        <f>(bhpc_data[[#This Row],[gross_weight]]/bhpc_data[[#This Row],[units_per_carton]])*bhpc_data!$AK23*bhpc_data[[#This Row],[product1_weight]]</f>
        <v>0</v>
      </c>
      <c r="AF23" s="351">
        <f>(bhpc_data[[#This Row],[gross_weight]]/bhpc_data[[#This Row],[units_per_carton]])*bhpc_data!$AK23*bhpc_data[[#This Row],[product2_weight]]</f>
        <v>0</v>
      </c>
      <c r="AG23" s="351">
        <f>(bhpc_data[[#This Row],[lenght]]*bhpc_data[[#This Row],[width]]*bhpc_data[[#This Row],[height]])/1000000000*bhpc_data!$AK23/bhpc_data[[#This Row],[units_per_carton]]*bhpc_data[[#This Row],[product1_weight]]</f>
        <v>0</v>
      </c>
      <c r="AH23" s="351">
        <f>(bhpc_data[[#This Row],[lenght]]*bhpc_data[[#This Row],[width]]*bhpc_data[[#This Row],[height]])/1000000000*bhpc_data!$AK23/bhpc_data[[#This Row],[units_per_carton]]*bhpc_data[[#This Row],[product2_weight]]</f>
        <v>0</v>
      </c>
      <c r="AI23" s="352">
        <f>SUMIF(productsSku,bhpc_data[[#This Row],[sku]],productsQty)+SUMIF(productsSku,bhpc_data[[#This Row],[sku]],productsDiscQty)</f>
        <v>0</v>
      </c>
      <c r="AJ23" s="352">
        <f>SUMIF(productsSku,bhpc_data[[#This Row],[sku]],productsFocQty)</f>
        <v>0</v>
      </c>
      <c r="AK23" s="353">
        <f>bhpc_data!$AI23+bhpc_data!$AJ23</f>
        <v>0</v>
      </c>
      <c r="AL23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3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3" s="551" t="str">
        <f>IF(bhpc_data[[#This Row],[hs_code]]="","",IF(bhpc_data[[#This Row],[hs_code]]="33030090",bhpc_data[[#This Row],[tot_order]]/bhpc_data[[#This Row],[units_per_carton]]*bhpc_data[[#This Row],[net_weight]],0))</f>
        <v/>
      </c>
      <c r="AO23" s="568">
        <f>IFERROR(bhpc_data[[#This Row],[tot_order]]/bhpc_data[[#This Row],[units_per_carton]]/bhpc_data[[#This Row],[box_per_europallet]],"")</f>
        <v>0</v>
      </c>
      <c r="AP23" s="568" t="str">
        <f>IFERROR(bhpc_data[[#This Row],[tot_order]]/bhpc_data[[#This Row],[units_per_carton]]/bhpc_data[[#This Row],[box_per_pallet]],"")</f>
        <v/>
      </c>
      <c r="AQ23" s="581">
        <f>IFERROR(ROUNDUP(bhpc_data[[#This Row],[pallet_euro]],0),"")</f>
        <v>0</v>
      </c>
      <c r="AR23" s="581" t="str">
        <f>IFERROR(ROUNDUP(bhpc_data[[#This Row],[pallet]],0),"")</f>
        <v/>
      </c>
      <c r="AV23" s="77" t="s">
        <v>121</v>
      </c>
    </row>
    <row r="24" spans="1:48">
      <c r="A24" s="77" t="s">
        <v>69</v>
      </c>
      <c r="B24" s="77" t="s">
        <v>37</v>
      </c>
      <c r="C24" s="77">
        <v>3</v>
      </c>
      <c r="D24" s="77" t="s">
        <v>49</v>
      </c>
      <c r="E24" s="79"/>
      <c r="G24" s="77" t="s">
        <v>70</v>
      </c>
      <c r="H24" s="78" t="s">
        <v>40</v>
      </c>
      <c r="I24" s="559">
        <v>12</v>
      </c>
      <c r="J24" s="559">
        <v>48</v>
      </c>
      <c r="K24" s="559">
        <v>8</v>
      </c>
      <c r="L24" s="559">
        <v>6</v>
      </c>
      <c r="N24" s="77">
        <v>445</v>
      </c>
      <c r="O24" s="77">
        <v>365</v>
      </c>
      <c r="P24" s="77">
        <v>240</v>
      </c>
      <c r="Q24" s="77">
        <v>5.7</v>
      </c>
      <c r="R24" s="77">
        <v>6.3</v>
      </c>
      <c r="S24" s="77">
        <v>50</v>
      </c>
      <c r="T24" s="77">
        <v>150</v>
      </c>
      <c r="U24" s="77">
        <v>50</v>
      </c>
      <c r="V24" s="77">
        <v>0.55000000000000004</v>
      </c>
      <c r="W24" s="77">
        <v>0.45</v>
      </c>
      <c r="X24" s="77">
        <v>0</v>
      </c>
      <c r="Y24" s="77">
        <v>0</v>
      </c>
      <c r="Z24" s="78" t="s">
        <v>41</v>
      </c>
      <c r="AA24" s="348">
        <f>ROUNDUP(bhpc_data!$AI24/bhpc_data[[#This Row],[units_per_carton]],0)</f>
        <v>0</v>
      </c>
      <c r="AB24" s="348">
        <f>bhpc_data!$AJ24/bhpc_data[[#This Row],[units_per_carton]]</f>
        <v>0</v>
      </c>
      <c r="AC24" s="348">
        <f>(bhpc_data[[#This Row],[net_weight]]/bhpc_data[[#This Row],[units_per_carton]])*bhpc_data!$AK24*bhpc_data[[#This Row],[product1_weight]]</f>
        <v>0</v>
      </c>
      <c r="AD24" s="348">
        <f>(bhpc_data[[#This Row],[net_weight]]/bhpc_data[[#This Row],[units_per_carton]])*bhpc_data!$AK24*bhpc_data[[#This Row],[product2_weight]]</f>
        <v>0</v>
      </c>
      <c r="AE24" s="348">
        <f>(bhpc_data[[#This Row],[gross_weight]]/bhpc_data[[#This Row],[units_per_carton]])*bhpc_data!$AK24*bhpc_data[[#This Row],[product1_weight]]</f>
        <v>0</v>
      </c>
      <c r="AF24" s="348">
        <f>(bhpc_data[[#This Row],[gross_weight]]/bhpc_data[[#This Row],[units_per_carton]])*bhpc_data!$AK24*bhpc_data[[#This Row],[product2_weight]]</f>
        <v>0</v>
      </c>
      <c r="AG24" s="348">
        <f>(bhpc_data[[#This Row],[lenght]]*bhpc_data[[#This Row],[width]]*bhpc_data[[#This Row],[height]])/1000000000*bhpc_data!$AK24/bhpc_data[[#This Row],[units_per_carton]]*bhpc_data[[#This Row],[product1_weight]]</f>
        <v>0</v>
      </c>
      <c r="AH24" s="348">
        <f>(bhpc_data[[#This Row],[lenght]]*bhpc_data[[#This Row],[width]]*bhpc_data[[#This Row],[height]])/1000000000*bhpc_data!$AK24/bhpc_data[[#This Row],[units_per_carton]]*bhpc_data[[#This Row],[product2_weight]]</f>
        <v>0</v>
      </c>
      <c r="AI24" s="349">
        <f>SUMIF(productsSku,bhpc_data[[#This Row],[sku]],productsQty)+SUMIF(productsSku,bhpc_data[[#This Row],[sku]],productsDiscQty)</f>
        <v>0</v>
      </c>
      <c r="AJ24" s="349">
        <f>SUMIF(productsSku,bhpc_data[[#This Row],[sku]],productsFocQty)</f>
        <v>0</v>
      </c>
      <c r="AK24" s="350">
        <f>bhpc_data!$AI24+bhpc_data!$AJ24</f>
        <v>0</v>
      </c>
      <c r="AL24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4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4" s="551" t="str">
        <f>IF(bhpc_data[[#This Row],[hs_code]]="","",IF(bhpc_data[[#This Row],[hs_code]]="33030090",bhpc_data[[#This Row],[tot_order]]/bhpc_data[[#This Row],[units_per_carton]]*bhpc_data[[#This Row],[net_weight]],0))</f>
        <v/>
      </c>
      <c r="AO24" s="568">
        <f>IFERROR(bhpc_data[[#This Row],[tot_order]]/bhpc_data[[#This Row],[units_per_carton]]/bhpc_data[[#This Row],[box_per_europallet]],"")</f>
        <v>0</v>
      </c>
      <c r="AP24" s="568" t="str">
        <f>IFERROR(bhpc_data[[#This Row],[tot_order]]/bhpc_data[[#This Row],[units_per_carton]]/bhpc_data[[#This Row],[box_per_pallet]],"")</f>
        <v/>
      </c>
      <c r="AQ24" s="581">
        <f>IFERROR(ROUNDUP(bhpc_data[[#This Row],[pallet_euro]],0),"")</f>
        <v>0</v>
      </c>
      <c r="AR24" s="581" t="str">
        <f>IFERROR(ROUNDUP(bhpc_data[[#This Row],[pallet]],0),"")</f>
        <v/>
      </c>
      <c r="AV24" s="77" t="s">
        <v>123</v>
      </c>
    </row>
    <row r="25" spans="1:48">
      <c r="A25" s="77" t="s">
        <v>71</v>
      </c>
      <c r="B25" s="77" t="s">
        <v>37</v>
      </c>
      <c r="C25" s="77">
        <v>3</v>
      </c>
      <c r="D25" s="77" t="s">
        <v>49</v>
      </c>
      <c r="E25" s="79"/>
      <c r="G25" s="77" t="s">
        <v>72</v>
      </c>
      <c r="H25" s="78" t="s">
        <v>40</v>
      </c>
      <c r="I25" s="559">
        <v>12</v>
      </c>
      <c r="J25" s="559">
        <v>48</v>
      </c>
      <c r="K25" s="559">
        <v>8</v>
      </c>
      <c r="L25" s="559">
        <v>6</v>
      </c>
      <c r="N25" s="77">
        <v>445</v>
      </c>
      <c r="O25" s="77">
        <v>365</v>
      </c>
      <c r="P25" s="77">
        <v>240</v>
      </c>
      <c r="Q25" s="77">
        <v>5.7</v>
      </c>
      <c r="R25" s="77">
        <v>6.3</v>
      </c>
      <c r="S25" s="77">
        <v>50</v>
      </c>
      <c r="T25" s="77">
        <v>150</v>
      </c>
      <c r="U25" s="77">
        <v>50</v>
      </c>
      <c r="V25" s="77">
        <v>0.55000000000000004</v>
      </c>
      <c r="W25" s="77">
        <v>0.45</v>
      </c>
      <c r="X25" s="77">
        <v>0</v>
      </c>
      <c r="Y25" s="77">
        <v>0</v>
      </c>
      <c r="Z25" s="78" t="s">
        <v>41</v>
      </c>
      <c r="AA25" s="351">
        <f>ROUNDUP(bhpc_data!$AI25/bhpc_data[[#This Row],[units_per_carton]],0)</f>
        <v>0</v>
      </c>
      <c r="AB25" s="351">
        <f>bhpc_data!$AJ25/bhpc_data[[#This Row],[units_per_carton]]</f>
        <v>0</v>
      </c>
      <c r="AC25" s="351">
        <f>(bhpc_data[[#This Row],[net_weight]]/bhpc_data[[#This Row],[units_per_carton]])*bhpc_data!$AK25*bhpc_data[[#This Row],[product1_weight]]</f>
        <v>0</v>
      </c>
      <c r="AD25" s="351">
        <f>(bhpc_data[[#This Row],[net_weight]]/bhpc_data[[#This Row],[units_per_carton]])*bhpc_data!$AK25*bhpc_data[[#This Row],[product2_weight]]</f>
        <v>0</v>
      </c>
      <c r="AE25" s="351">
        <f>(bhpc_data[[#This Row],[gross_weight]]/bhpc_data[[#This Row],[units_per_carton]])*bhpc_data!$AK25*bhpc_data[[#This Row],[product1_weight]]</f>
        <v>0</v>
      </c>
      <c r="AF25" s="351">
        <f>(bhpc_data[[#This Row],[gross_weight]]/bhpc_data[[#This Row],[units_per_carton]])*bhpc_data!$AK25*bhpc_data[[#This Row],[product2_weight]]</f>
        <v>0</v>
      </c>
      <c r="AG25" s="351">
        <f>(bhpc_data[[#This Row],[lenght]]*bhpc_data[[#This Row],[width]]*bhpc_data[[#This Row],[height]])/1000000000*bhpc_data!$AK25/bhpc_data[[#This Row],[units_per_carton]]*bhpc_data[[#This Row],[product1_weight]]</f>
        <v>0</v>
      </c>
      <c r="AH25" s="351">
        <f>(bhpc_data[[#This Row],[lenght]]*bhpc_data[[#This Row],[width]]*bhpc_data[[#This Row],[height]])/1000000000*bhpc_data!$AK25/bhpc_data[[#This Row],[units_per_carton]]*bhpc_data[[#This Row],[product2_weight]]</f>
        <v>0</v>
      </c>
      <c r="AI25" s="352">
        <f>SUMIF(productsSku,bhpc_data[[#This Row],[sku]],productsQty)+SUMIF(productsSku,bhpc_data[[#This Row],[sku]],productsDiscQty)</f>
        <v>0</v>
      </c>
      <c r="AJ25" s="352">
        <f>SUMIF(productsSku,bhpc_data[[#This Row],[sku]],productsFocQty)</f>
        <v>0</v>
      </c>
      <c r="AK25" s="353">
        <f>bhpc_data!$AI25+bhpc_data!$AJ25</f>
        <v>0</v>
      </c>
      <c r="AL25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5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25" s="551" t="str">
        <f>IF(bhpc_data[[#This Row],[hs_code]]="","",IF(bhpc_data[[#This Row],[hs_code]]="33030090",bhpc_data[[#This Row],[tot_order]]/bhpc_data[[#This Row],[units_per_carton]]*bhpc_data[[#This Row],[net_weight]],0))</f>
        <v/>
      </c>
      <c r="AO25" s="568">
        <f>IFERROR(bhpc_data[[#This Row],[tot_order]]/bhpc_data[[#This Row],[units_per_carton]]/bhpc_data[[#This Row],[box_per_europallet]],"")</f>
        <v>0</v>
      </c>
      <c r="AP25" s="568" t="str">
        <f>IFERROR(bhpc_data[[#This Row],[tot_order]]/bhpc_data[[#This Row],[units_per_carton]]/bhpc_data[[#This Row],[box_per_pallet]],"")</f>
        <v/>
      </c>
      <c r="AQ25" s="581">
        <f>IFERROR(ROUNDUP(bhpc_data[[#This Row],[pallet_euro]],0),"")</f>
        <v>0</v>
      </c>
      <c r="AR25" s="581" t="str">
        <f>IFERROR(ROUNDUP(bhpc_data[[#This Row],[pallet]],0),"")</f>
        <v/>
      </c>
      <c r="AV25" s="77" t="s">
        <v>125</v>
      </c>
    </row>
    <row r="26" spans="1:48">
      <c r="A26" s="77" t="s">
        <v>210</v>
      </c>
      <c r="B26" s="77" t="s">
        <v>37</v>
      </c>
      <c r="C26" s="77">
        <v>2</v>
      </c>
      <c r="D26" s="77" t="s">
        <v>38</v>
      </c>
      <c r="E26" s="80">
        <v>6291107160733</v>
      </c>
      <c r="F26" s="591" t="s">
        <v>171</v>
      </c>
      <c r="G26" s="77" t="s">
        <v>211</v>
      </c>
      <c r="AA26" s="348" t="e">
        <f>ROUNDUP(bhpc_data!$AI26/bhpc_data[[#This Row],[units_per_carton]],0)</f>
        <v>#DIV/0!</v>
      </c>
      <c r="AB26" s="348" t="e">
        <f>bhpc_data!$AJ26/bhpc_data[[#This Row],[units_per_carton]]</f>
        <v>#DIV/0!</v>
      </c>
      <c r="AC26" s="348" t="e">
        <f>(bhpc_data[[#This Row],[net_weight]]/bhpc_data[[#This Row],[units_per_carton]])*bhpc_data!$AK26*bhpc_data[[#This Row],[product1_weight]]</f>
        <v>#DIV/0!</v>
      </c>
      <c r="AD26" s="348" t="e">
        <f>(bhpc_data[[#This Row],[net_weight]]/bhpc_data[[#This Row],[units_per_carton]])*bhpc_data!$AK26*bhpc_data[[#This Row],[product2_weight]]</f>
        <v>#DIV/0!</v>
      </c>
      <c r="AE26" s="348" t="e">
        <f>(bhpc_data[[#This Row],[gross_weight]]/bhpc_data[[#This Row],[units_per_carton]])*bhpc_data!$AK26*bhpc_data[[#This Row],[product1_weight]]</f>
        <v>#DIV/0!</v>
      </c>
      <c r="AF26" s="348" t="e">
        <f>(bhpc_data[[#This Row],[gross_weight]]/bhpc_data[[#This Row],[units_per_carton]])*bhpc_data!$AK26*bhpc_data[[#This Row],[product2_weight]]</f>
        <v>#DIV/0!</v>
      </c>
      <c r="AG26" s="348" t="e">
        <f>(bhpc_data[[#This Row],[lenght]]*bhpc_data[[#This Row],[width]]*bhpc_data[[#This Row],[height]])/1000000000*bhpc_data!$AK26/bhpc_data[[#This Row],[units_per_carton]]*bhpc_data[[#This Row],[product1_weight]]</f>
        <v>#DIV/0!</v>
      </c>
      <c r="AH26" s="348" t="e">
        <f>(bhpc_data[[#This Row],[lenght]]*bhpc_data[[#This Row],[width]]*bhpc_data[[#This Row],[height]])/1000000000*bhpc_data!$AK26/bhpc_data[[#This Row],[units_per_carton]]*bhpc_data[[#This Row],[product2_weight]]</f>
        <v>#DIV/0!</v>
      </c>
      <c r="AI26" s="349">
        <f>SUMIF(productsSku,bhpc_data[[#This Row],[sku]],productsQty)+SUMIF(productsSku,bhpc_data[[#This Row],[sku]],productsDiscQty)</f>
        <v>0</v>
      </c>
      <c r="AJ26" s="349">
        <f>SUMIF(productsSku,bhpc_data[[#This Row],[sku]],productsFocQty)</f>
        <v>0</v>
      </c>
      <c r="AK26" s="350">
        <f>bhpc_data!$AI26+bhpc_data!$AJ26</f>
        <v>0</v>
      </c>
      <c r="AL26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6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26" s="551">
        <f>IF(bhpc_data[[#This Row],[hs_code]]="","",IF(bhpc_data[[#This Row],[hs_code]]="33030090",bhpc_data[[#This Row],[tot_order]]/bhpc_data[[#This Row],[units_per_carton]]*bhpc_data[[#This Row],[net_weight]],0))</f>
        <v>0</v>
      </c>
      <c r="AO26" s="568" t="str">
        <f>IFERROR(bhpc_data[[#This Row],[tot_order]]/bhpc_data[[#This Row],[units_per_carton]]/bhpc_data[[#This Row],[box_per_europallet]],"")</f>
        <v/>
      </c>
      <c r="AP26" s="568" t="str">
        <f>IFERROR(bhpc_data[[#This Row],[tot_order]]/bhpc_data[[#This Row],[units_per_carton]]/bhpc_data[[#This Row],[box_per_pallet]],"")</f>
        <v/>
      </c>
      <c r="AQ26" s="581" t="str">
        <f>IFERROR(ROUNDUP(bhpc_data[[#This Row],[pallet_euro]],0),"")</f>
        <v/>
      </c>
      <c r="AR26" s="581" t="str">
        <f>IFERROR(ROUNDUP(bhpc_data[[#This Row],[pallet]],0),"")</f>
        <v/>
      </c>
      <c r="AV26" s="77" t="s">
        <v>127</v>
      </c>
    </row>
    <row r="27" spans="1:48">
      <c r="A27" s="77" t="s">
        <v>212</v>
      </c>
      <c r="B27" s="77" t="s">
        <v>37</v>
      </c>
      <c r="C27" s="77">
        <v>2</v>
      </c>
      <c r="D27" s="77" t="s">
        <v>38</v>
      </c>
      <c r="E27" s="80">
        <v>6291107160733</v>
      </c>
      <c r="F27" s="591" t="s">
        <v>171</v>
      </c>
      <c r="G27" s="77" t="s">
        <v>213</v>
      </c>
      <c r="AA27" s="351" t="e">
        <f>ROUNDUP(bhpc_data!$AI27/bhpc_data[[#This Row],[units_per_carton]],0)</f>
        <v>#DIV/0!</v>
      </c>
      <c r="AB27" s="351" t="e">
        <f>bhpc_data!$AJ27/bhpc_data[[#This Row],[units_per_carton]]</f>
        <v>#DIV/0!</v>
      </c>
      <c r="AC27" s="351" t="e">
        <f>(bhpc_data[[#This Row],[net_weight]]/bhpc_data[[#This Row],[units_per_carton]])*bhpc_data!$AK27*bhpc_data[[#This Row],[product1_weight]]</f>
        <v>#DIV/0!</v>
      </c>
      <c r="AD27" s="351" t="e">
        <f>(bhpc_data[[#This Row],[net_weight]]/bhpc_data[[#This Row],[units_per_carton]])*bhpc_data!$AK27*bhpc_data[[#This Row],[product2_weight]]</f>
        <v>#DIV/0!</v>
      </c>
      <c r="AE27" s="351" t="e">
        <f>(bhpc_data[[#This Row],[gross_weight]]/bhpc_data[[#This Row],[units_per_carton]])*bhpc_data!$AK27*bhpc_data[[#This Row],[product1_weight]]</f>
        <v>#DIV/0!</v>
      </c>
      <c r="AF27" s="351" t="e">
        <f>(bhpc_data[[#This Row],[gross_weight]]/bhpc_data[[#This Row],[units_per_carton]])*bhpc_data!$AK27*bhpc_data[[#This Row],[product2_weight]]</f>
        <v>#DIV/0!</v>
      </c>
      <c r="AG27" s="351" t="e">
        <f>(bhpc_data[[#This Row],[lenght]]*bhpc_data[[#This Row],[width]]*bhpc_data[[#This Row],[height]])/1000000000*bhpc_data!$AK27/bhpc_data[[#This Row],[units_per_carton]]*bhpc_data[[#This Row],[product1_weight]]</f>
        <v>#DIV/0!</v>
      </c>
      <c r="AH27" s="351" t="e">
        <f>(bhpc_data[[#This Row],[lenght]]*bhpc_data[[#This Row],[width]]*bhpc_data[[#This Row],[height]])/1000000000*bhpc_data!$AK27/bhpc_data[[#This Row],[units_per_carton]]*bhpc_data[[#This Row],[product2_weight]]</f>
        <v>#DIV/0!</v>
      </c>
      <c r="AI27" s="352">
        <f>SUMIF(productsSku,bhpc_data[[#This Row],[sku]],productsQty)+SUMIF(productsSku,bhpc_data[[#This Row],[sku]],productsDiscQty)</f>
        <v>0</v>
      </c>
      <c r="AJ27" s="352">
        <f>SUMIF(productsSku,bhpc_data[[#This Row],[sku]],productsFocQty)</f>
        <v>0</v>
      </c>
      <c r="AK27" s="353">
        <f>bhpc_data!$AI27+bhpc_data!$AJ27</f>
        <v>0</v>
      </c>
      <c r="AL27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7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27" s="551">
        <f>IF(bhpc_data[[#This Row],[hs_code]]="","",IF(bhpc_data[[#This Row],[hs_code]]="33030090",bhpc_data[[#This Row],[tot_order]]/bhpc_data[[#This Row],[units_per_carton]]*bhpc_data[[#This Row],[net_weight]],0))</f>
        <v>0</v>
      </c>
      <c r="AO27" s="568" t="str">
        <f>IFERROR(bhpc_data[[#This Row],[tot_order]]/bhpc_data[[#This Row],[units_per_carton]]/bhpc_data[[#This Row],[box_per_europallet]],"")</f>
        <v/>
      </c>
      <c r="AP27" s="568" t="str">
        <f>IFERROR(bhpc_data[[#This Row],[tot_order]]/bhpc_data[[#This Row],[units_per_carton]]/bhpc_data[[#This Row],[box_per_pallet]],"")</f>
        <v/>
      </c>
      <c r="AQ27" s="581" t="str">
        <f>IFERROR(ROUNDUP(bhpc_data[[#This Row],[pallet_euro]],0),"")</f>
        <v/>
      </c>
      <c r="AR27" s="581" t="str">
        <f>IFERROR(ROUNDUP(bhpc_data[[#This Row],[pallet]],0),"")</f>
        <v/>
      </c>
      <c r="AV27" s="77" t="s">
        <v>130</v>
      </c>
    </row>
    <row r="28" spans="1:48">
      <c r="A28" s="77" t="s">
        <v>214</v>
      </c>
      <c r="B28" s="77" t="s">
        <v>37</v>
      </c>
      <c r="C28" s="77">
        <v>2</v>
      </c>
      <c r="D28" s="77" t="s">
        <v>38</v>
      </c>
      <c r="E28" s="80">
        <v>6291107160733</v>
      </c>
      <c r="F28" s="591" t="s">
        <v>171</v>
      </c>
      <c r="G28" s="77" t="s">
        <v>215</v>
      </c>
      <c r="AA28" s="348" t="e">
        <f>ROUNDUP(bhpc_data!$AI28/bhpc_data[[#This Row],[units_per_carton]],0)</f>
        <v>#DIV/0!</v>
      </c>
      <c r="AB28" s="348" t="e">
        <f>bhpc_data!$AJ28/bhpc_data[[#This Row],[units_per_carton]]</f>
        <v>#DIV/0!</v>
      </c>
      <c r="AC28" s="348" t="e">
        <f>(bhpc_data[[#This Row],[net_weight]]/bhpc_data[[#This Row],[units_per_carton]])*bhpc_data!$AK28*bhpc_data[[#This Row],[product1_weight]]</f>
        <v>#DIV/0!</v>
      </c>
      <c r="AD28" s="348" t="e">
        <f>(bhpc_data[[#This Row],[net_weight]]/bhpc_data[[#This Row],[units_per_carton]])*bhpc_data!$AK28*bhpc_data[[#This Row],[product2_weight]]</f>
        <v>#DIV/0!</v>
      </c>
      <c r="AE28" s="348" t="e">
        <f>(bhpc_data[[#This Row],[gross_weight]]/bhpc_data[[#This Row],[units_per_carton]])*bhpc_data!$AK28*bhpc_data[[#This Row],[product1_weight]]</f>
        <v>#DIV/0!</v>
      </c>
      <c r="AF28" s="348" t="e">
        <f>(bhpc_data[[#This Row],[gross_weight]]/bhpc_data[[#This Row],[units_per_carton]])*bhpc_data!$AK28*bhpc_data[[#This Row],[product2_weight]]</f>
        <v>#DIV/0!</v>
      </c>
      <c r="AG28" s="348" t="e">
        <f>(bhpc_data[[#This Row],[lenght]]*bhpc_data[[#This Row],[width]]*bhpc_data[[#This Row],[height]])/1000000000*bhpc_data!$AK28/bhpc_data[[#This Row],[units_per_carton]]*bhpc_data[[#This Row],[product1_weight]]</f>
        <v>#DIV/0!</v>
      </c>
      <c r="AH28" s="348" t="e">
        <f>(bhpc_data[[#This Row],[lenght]]*bhpc_data[[#This Row],[width]]*bhpc_data[[#This Row],[height]])/1000000000*bhpc_data!$AK28/bhpc_data[[#This Row],[units_per_carton]]*bhpc_data[[#This Row],[product2_weight]]</f>
        <v>#DIV/0!</v>
      </c>
      <c r="AI28" s="349">
        <f>SUMIF(productsSku,bhpc_data[[#This Row],[sku]],productsQty)+SUMIF(productsSku,bhpc_data[[#This Row],[sku]],productsDiscQty)</f>
        <v>0</v>
      </c>
      <c r="AJ28" s="349">
        <f>SUMIF(productsSku,bhpc_data[[#This Row],[sku]],productsFocQty)</f>
        <v>0</v>
      </c>
      <c r="AK28" s="350">
        <f>bhpc_data!$AI28+bhpc_data!$AJ28</f>
        <v>0</v>
      </c>
      <c r="AL28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8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28" s="551">
        <f>IF(bhpc_data[[#This Row],[hs_code]]="","",IF(bhpc_data[[#This Row],[hs_code]]="33030090",bhpc_data[[#This Row],[tot_order]]/bhpc_data[[#This Row],[units_per_carton]]*bhpc_data[[#This Row],[net_weight]],0))</f>
        <v>0</v>
      </c>
      <c r="AO28" s="568" t="str">
        <f>IFERROR(bhpc_data[[#This Row],[tot_order]]/bhpc_data[[#This Row],[units_per_carton]]/bhpc_data[[#This Row],[box_per_europallet]],"")</f>
        <v/>
      </c>
      <c r="AP28" s="568" t="str">
        <f>IFERROR(bhpc_data[[#This Row],[tot_order]]/bhpc_data[[#This Row],[units_per_carton]]/bhpc_data[[#This Row],[box_per_pallet]],"")</f>
        <v/>
      </c>
      <c r="AQ28" s="581" t="str">
        <f>IFERROR(ROUNDUP(bhpc_data[[#This Row],[pallet_euro]],0),"")</f>
        <v/>
      </c>
      <c r="AR28" s="581" t="str">
        <f>IFERROR(ROUNDUP(bhpc_data[[#This Row],[pallet]],0),"")</f>
        <v/>
      </c>
      <c r="AV28" s="77" t="s">
        <v>132</v>
      </c>
    </row>
    <row r="29" spans="1:48">
      <c r="A29" s="77" t="s">
        <v>216</v>
      </c>
      <c r="B29" s="77" t="s">
        <v>37</v>
      </c>
      <c r="C29" s="77">
        <v>2</v>
      </c>
      <c r="D29" s="77" t="s">
        <v>38</v>
      </c>
      <c r="E29" s="80">
        <v>6291107160733</v>
      </c>
      <c r="F29" s="591" t="s">
        <v>171</v>
      </c>
      <c r="G29" s="77" t="s">
        <v>217</v>
      </c>
      <c r="AA29" s="351" t="e">
        <f>ROUNDUP(bhpc_data!$AI29/bhpc_data[[#This Row],[units_per_carton]],0)</f>
        <v>#DIV/0!</v>
      </c>
      <c r="AB29" s="351" t="e">
        <f>bhpc_data!$AJ29/bhpc_data[[#This Row],[units_per_carton]]</f>
        <v>#DIV/0!</v>
      </c>
      <c r="AC29" s="351" t="e">
        <f>(bhpc_data[[#This Row],[net_weight]]/bhpc_data[[#This Row],[units_per_carton]])*bhpc_data!$AK29*bhpc_data[[#This Row],[product1_weight]]</f>
        <v>#DIV/0!</v>
      </c>
      <c r="AD29" s="351" t="e">
        <f>(bhpc_data[[#This Row],[net_weight]]/bhpc_data[[#This Row],[units_per_carton]])*bhpc_data!$AK29*bhpc_data[[#This Row],[product2_weight]]</f>
        <v>#DIV/0!</v>
      </c>
      <c r="AE29" s="351" t="e">
        <f>(bhpc_data[[#This Row],[gross_weight]]/bhpc_data[[#This Row],[units_per_carton]])*bhpc_data!$AK29*bhpc_data[[#This Row],[product1_weight]]</f>
        <v>#DIV/0!</v>
      </c>
      <c r="AF29" s="351" t="e">
        <f>(bhpc_data[[#This Row],[gross_weight]]/bhpc_data[[#This Row],[units_per_carton]])*bhpc_data!$AK29*bhpc_data[[#This Row],[product2_weight]]</f>
        <v>#DIV/0!</v>
      </c>
      <c r="AG29" s="351" t="e">
        <f>(bhpc_data[[#This Row],[lenght]]*bhpc_data[[#This Row],[width]]*bhpc_data[[#This Row],[height]])/1000000000*bhpc_data!$AK29/bhpc_data[[#This Row],[units_per_carton]]*bhpc_data[[#This Row],[product1_weight]]</f>
        <v>#DIV/0!</v>
      </c>
      <c r="AH29" s="351" t="e">
        <f>(bhpc_data[[#This Row],[lenght]]*bhpc_data[[#This Row],[width]]*bhpc_data[[#This Row],[height]])/1000000000*bhpc_data!$AK29/bhpc_data[[#This Row],[units_per_carton]]*bhpc_data[[#This Row],[product2_weight]]</f>
        <v>#DIV/0!</v>
      </c>
      <c r="AI29" s="352">
        <f>SUMIF(productsSku,bhpc_data[[#This Row],[sku]],productsQty)+SUMIF(productsSku,bhpc_data[[#This Row],[sku]],productsDiscQty)</f>
        <v>0</v>
      </c>
      <c r="AJ29" s="352">
        <f>SUMIF(productsSku,bhpc_data[[#This Row],[sku]],productsFocQty)</f>
        <v>0</v>
      </c>
      <c r="AK29" s="353">
        <f>bhpc_data!$AI29+bhpc_data!$AJ29</f>
        <v>0</v>
      </c>
      <c r="AL29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29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29" s="551">
        <f>IF(bhpc_data[[#This Row],[hs_code]]="","",IF(bhpc_data[[#This Row],[hs_code]]="33030090",bhpc_data[[#This Row],[tot_order]]/bhpc_data[[#This Row],[units_per_carton]]*bhpc_data[[#This Row],[net_weight]],0))</f>
        <v>0</v>
      </c>
      <c r="AO29" s="568" t="str">
        <f>IFERROR(bhpc_data[[#This Row],[tot_order]]/bhpc_data[[#This Row],[units_per_carton]]/bhpc_data[[#This Row],[box_per_europallet]],"")</f>
        <v/>
      </c>
      <c r="AP29" s="568" t="str">
        <f>IFERROR(bhpc_data[[#This Row],[tot_order]]/bhpc_data[[#This Row],[units_per_carton]]/bhpc_data[[#This Row],[box_per_pallet]],"")</f>
        <v/>
      </c>
      <c r="AQ29" s="581" t="str">
        <f>IFERROR(ROUNDUP(bhpc_data[[#This Row],[pallet_euro]],0),"")</f>
        <v/>
      </c>
      <c r="AR29" s="581" t="str">
        <f>IFERROR(ROUNDUP(bhpc_data[[#This Row],[pallet]],0),"")</f>
        <v/>
      </c>
      <c r="AV29" s="77" t="s">
        <v>134</v>
      </c>
    </row>
    <row r="30" spans="1:48">
      <c r="A30" s="77" t="s">
        <v>218</v>
      </c>
      <c r="B30" s="77" t="s">
        <v>37</v>
      </c>
      <c r="C30" s="77">
        <v>2</v>
      </c>
      <c r="D30" s="77" t="s">
        <v>38</v>
      </c>
      <c r="E30" s="80">
        <v>6291107160733</v>
      </c>
      <c r="F30" s="591" t="s">
        <v>171</v>
      </c>
      <c r="G30" s="77" t="s">
        <v>219</v>
      </c>
      <c r="AA30" s="348" t="e">
        <f>ROUNDUP(bhpc_data!$AI30/bhpc_data[[#This Row],[units_per_carton]],0)</f>
        <v>#DIV/0!</v>
      </c>
      <c r="AB30" s="348" t="e">
        <f>bhpc_data!$AJ30/bhpc_data[[#This Row],[units_per_carton]]</f>
        <v>#DIV/0!</v>
      </c>
      <c r="AC30" s="348" t="e">
        <f>(bhpc_data[[#This Row],[net_weight]]/bhpc_data[[#This Row],[units_per_carton]])*bhpc_data!$AK30*bhpc_data[[#This Row],[product1_weight]]</f>
        <v>#DIV/0!</v>
      </c>
      <c r="AD30" s="348" t="e">
        <f>(bhpc_data[[#This Row],[net_weight]]/bhpc_data[[#This Row],[units_per_carton]])*bhpc_data!$AK30*bhpc_data[[#This Row],[product2_weight]]</f>
        <v>#DIV/0!</v>
      </c>
      <c r="AE30" s="348" t="e">
        <f>(bhpc_data[[#This Row],[gross_weight]]/bhpc_data[[#This Row],[units_per_carton]])*bhpc_data!$AK30*bhpc_data[[#This Row],[product1_weight]]</f>
        <v>#DIV/0!</v>
      </c>
      <c r="AF30" s="348" t="e">
        <f>(bhpc_data[[#This Row],[gross_weight]]/bhpc_data[[#This Row],[units_per_carton]])*bhpc_data!$AK30*bhpc_data[[#This Row],[product2_weight]]</f>
        <v>#DIV/0!</v>
      </c>
      <c r="AG30" s="348" t="e">
        <f>(bhpc_data[[#This Row],[lenght]]*bhpc_data[[#This Row],[width]]*bhpc_data[[#This Row],[height]])/1000000000*bhpc_data!$AK30/bhpc_data[[#This Row],[units_per_carton]]*bhpc_data[[#This Row],[product1_weight]]</f>
        <v>#DIV/0!</v>
      </c>
      <c r="AH30" s="348" t="e">
        <f>(bhpc_data[[#This Row],[lenght]]*bhpc_data[[#This Row],[width]]*bhpc_data[[#This Row],[height]])/1000000000*bhpc_data!$AK30/bhpc_data[[#This Row],[units_per_carton]]*bhpc_data[[#This Row],[product2_weight]]</f>
        <v>#DIV/0!</v>
      </c>
      <c r="AI30" s="349">
        <f>SUMIF(productsSku,bhpc_data[[#This Row],[sku]],productsQty)+SUMIF(productsSku,bhpc_data[[#This Row],[sku]],productsDiscQty)</f>
        <v>0</v>
      </c>
      <c r="AJ30" s="349">
        <f>SUMIF(productsSku,bhpc_data[[#This Row],[sku]],productsFocQty)</f>
        <v>0</v>
      </c>
      <c r="AK30" s="350">
        <f>bhpc_data!$AI30+bhpc_data!$AJ30</f>
        <v>0</v>
      </c>
      <c r="AL30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0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30" s="551">
        <f>IF(bhpc_data[[#This Row],[hs_code]]="","",IF(bhpc_data[[#This Row],[hs_code]]="33030090",bhpc_data[[#This Row],[tot_order]]/bhpc_data[[#This Row],[units_per_carton]]*bhpc_data[[#This Row],[net_weight]],0))</f>
        <v>0</v>
      </c>
      <c r="AO30" s="568" t="str">
        <f>IFERROR(bhpc_data[[#This Row],[tot_order]]/bhpc_data[[#This Row],[units_per_carton]]/bhpc_data[[#This Row],[box_per_europallet]],"")</f>
        <v/>
      </c>
      <c r="AP30" s="568" t="str">
        <f>IFERROR(bhpc_data[[#This Row],[tot_order]]/bhpc_data[[#This Row],[units_per_carton]]/bhpc_data[[#This Row],[box_per_pallet]],"")</f>
        <v/>
      </c>
      <c r="AQ30" s="581" t="str">
        <f>IFERROR(ROUNDUP(bhpc_data[[#This Row],[pallet_euro]],0),"")</f>
        <v/>
      </c>
      <c r="AR30" s="581" t="str">
        <f>IFERROR(ROUNDUP(bhpc_data[[#This Row],[pallet]],0),"")</f>
        <v/>
      </c>
      <c r="AV30" s="77" t="s">
        <v>136</v>
      </c>
    </row>
    <row r="31" spans="1:48">
      <c r="A31" s="77" t="s">
        <v>220</v>
      </c>
      <c r="B31" s="77" t="s">
        <v>37</v>
      </c>
      <c r="C31" s="77">
        <v>2</v>
      </c>
      <c r="D31" s="77" t="s">
        <v>38</v>
      </c>
      <c r="E31" s="80">
        <v>6291107160733</v>
      </c>
      <c r="F31" s="591" t="s">
        <v>171</v>
      </c>
      <c r="G31" s="77" t="s">
        <v>221</v>
      </c>
      <c r="AA31" s="351" t="e">
        <f>ROUNDUP(bhpc_data!$AI31/bhpc_data[[#This Row],[units_per_carton]],0)</f>
        <v>#DIV/0!</v>
      </c>
      <c r="AB31" s="351" t="e">
        <f>bhpc_data!$AJ31/bhpc_data[[#This Row],[units_per_carton]]</f>
        <v>#DIV/0!</v>
      </c>
      <c r="AC31" s="351" t="e">
        <f>(bhpc_data[[#This Row],[net_weight]]/bhpc_data[[#This Row],[units_per_carton]])*bhpc_data!$AK31*bhpc_data[[#This Row],[product1_weight]]</f>
        <v>#DIV/0!</v>
      </c>
      <c r="AD31" s="351" t="e">
        <f>(bhpc_data[[#This Row],[net_weight]]/bhpc_data[[#This Row],[units_per_carton]])*bhpc_data!$AK31*bhpc_data[[#This Row],[product2_weight]]</f>
        <v>#DIV/0!</v>
      </c>
      <c r="AE31" s="351" t="e">
        <f>(bhpc_data[[#This Row],[gross_weight]]/bhpc_data[[#This Row],[units_per_carton]])*bhpc_data!$AK31*bhpc_data[[#This Row],[product1_weight]]</f>
        <v>#DIV/0!</v>
      </c>
      <c r="AF31" s="351" t="e">
        <f>(bhpc_data[[#This Row],[gross_weight]]/bhpc_data[[#This Row],[units_per_carton]])*bhpc_data!$AK31*bhpc_data[[#This Row],[product2_weight]]</f>
        <v>#DIV/0!</v>
      </c>
      <c r="AG31" s="351" t="e">
        <f>(bhpc_data[[#This Row],[lenght]]*bhpc_data[[#This Row],[width]]*bhpc_data[[#This Row],[height]])/1000000000*bhpc_data!$AK31/bhpc_data[[#This Row],[units_per_carton]]*bhpc_data[[#This Row],[product1_weight]]</f>
        <v>#DIV/0!</v>
      </c>
      <c r="AH31" s="351" t="e">
        <f>(bhpc_data[[#This Row],[lenght]]*bhpc_data[[#This Row],[width]]*bhpc_data[[#This Row],[height]])/1000000000*bhpc_data!$AK31/bhpc_data[[#This Row],[units_per_carton]]*bhpc_data[[#This Row],[product2_weight]]</f>
        <v>#DIV/0!</v>
      </c>
      <c r="AI31" s="352">
        <f>SUMIF(productsSku,bhpc_data[[#This Row],[sku]],productsQty)+SUMIF(productsSku,bhpc_data[[#This Row],[sku]],productsDiscQty)</f>
        <v>0</v>
      </c>
      <c r="AJ31" s="352">
        <f>SUMIF(productsSku,bhpc_data[[#This Row],[sku]],productsFocQty)</f>
        <v>0</v>
      </c>
      <c r="AK31" s="353">
        <f>bhpc_data!$AI31+bhpc_data!$AJ31</f>
        <v>0</v>
      </c>
      <c r="AL31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1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31" s="551">
        <f>IF(bhpc_data[[#This Row],[hs_code]]="","",IF(bhpc_data[[#This Row],[hs_code]]="33030090",bhpc_data[[#This Row],[tot_order]]/bhpc_data[[#This Row],[units_per_carton]]*bhpc_data[[#This Row],[net_weight]],0))</f>
        <v>0</v>
      </c>
      <c r="AO31" s="568" t="str">
        <f>IFERROR(bhpc_data[[#This Row],[tot_order]]/bhpc_data[[#This Row],[units_per_carton]]/bhpc_data[[#This Row],[box_per_europallet]],"")</f>
        <v/>
      </c>
      <c r="AP31" s="568" t="str">
        <f>IFERROR(bhpc_data[[#This Row],[tot_order]]/bhpc_data[[#This Row],[units_per_carton]]/bhpc_data[[#This Row],[box_per_pallet]],"")</f>
        <v/>
      </c>
      <c r="AQ31" s="581" t="str">
        <f>IFERROR(ROUNDUP(bhpc_data[[#This Row],[pallet_euro]],0),"")</f>
        <v/>
      </c>
      <c r="AR31" s="581" t="str">
        <f>IFERROR(ROUNDUP(bhpc_data[[#This Row],[pallet]],0),"")</f>
        <v/>
      </c>
      <c r="AV31" s="77" t="s">
        <v>138</v>
      </c>
    </row>
    <row r="32" spans="1:48">
      <c r="A32" s="77" t="s">
        <v>108</v>
      </c>
      <c r="B32" s="77" t="s">
        <v>37</v>
      </c>
      <c r="C32" s="77">
        <v>2</v>
      </c>
      <c r="D32" s="77" t="s">
        <v>38</v>
      </c>
      <c r="E32" s="79"/>
      <c r="G32" s="77" t="s">
        <v>109</v>
      </c>
      <c r="H32" s="78" t="s">
        <v>40</v>
      </c>
      <c r="I32" s="559">
        <v>20</v>
      </c>
      <c r="J32" s="559">
        <v>18</v>
      </c>
      <c r="K32" s="559">
        <v>6</v>
      </c>
      <c r="L32" s="559">
        <v>3</v>
      </c>
      <c r="N32" s="77">
        <v>400</v>
      </c>
      <c r="O32" s="77">
        <v>400</v>
      </c>
      <c r="P32" s="77">
        <v>460</v>
      </c>
      <c r="Q32" s="77">
        <f>0.73*I32</f>
        <v>14.6</v>
      </c>
      <c r="R32" s="77">
        <v>20.5</v>
      </c>
      <c r="S32" s="77">
        <v>100</v>
      </c>
      <c r="T32" s="77">
        <v>300</v>
      </c>
      <c r="U32" s="77">
        <v>0</v>
      </c>
      <c r="V32" s="77">
        <v>0.6</v>
      </c>
      <c r="W32" s="77">
        <v>0.4</v>
      </c>
      <c r="X32" s="77">
        <v>0</v>
      </c>
      <c r="Y32" s="77">
        <v>0</v>
      </c>
      <c r="Z32" s="78" t="s">
        <v>41</v>
      </c>
      <c r="AA32" s="348">
        <f>ROUNDUP(bhpc_data!$AI32/bhpc_data[[#This Row],[units_per_carton]],0)</f>
        <v>0</v>
      </c>
      <c r="AB32" s="348">
        <f>bhpc_data!$AJ32/bhpc_data[[#This Row],[units_per_carton]]</f>
        <v>0</v>
      </c>
      <c r="AC32" s="348">
        <f>(bhpc_data[[#This Row],[net_weight]]/bhpc_data[[#This Row],[units_per_carton]])*bhpc_data!$AK32*bhpc_data[[#This Row],[product1_weight]]</f>
        <v>0</v>
      </c>
      <c r="AD32" s="348">
        <f>(bhpc_data[[#This Row],[net_weight]]/bhpc_data[[#This Row],[units_per_carton]])*bhpc_data!$AK32*bhpc_data[[#This Row],[product2_weight]]</f>
        <v>0</v>
      </c>
      <c r="AE32" s="348">
        <f>(bhpc_data[[#This Row],[gross_weight]]/bhpc_data[[#This Row],[units_per_carton]])*bhpc_data!$AK32*bhpc_data[[#This Row],[product1_weight]]</f>
        <v>0</v>
      </c>
      <c r="AF32" s="348">
        <f>(bhpc_data[[#This Row],[gross_weight]]/bhpc_data[[#This Row],[units_per_carton]])*bhpc_data!$AK32*bhpc_data[[#This Row],[product2_weight]]</f>
        <v>0</v>
      </c>
      <c r="AG32" s="348">
        <f>(bhpc_data[[#This Row],[lenght]]*bhpc_data[[#This Row],[width]]*bhpc_data[[#This Row],[height]])/1000000000*bhpc_data!$AK32/bhpc_data[[#This Row],[units_per_carton]]*bhpc_data[[#This Row],[product1_weight]]</f>
        <v>0</v>
      </c>
      <c r="AH32" s="348">
        <f>(bhpc_data[[#This Row],[lenght]]*bhpc_data[[#This Row],[width]]*bhpc_data[[#This Row],[height]])/1000000000*bhpc_data!$AK32/bhpc_data[[#This Row],[units_per_carton]]*bhpc_data[[#This Row],[product2_weight]]</f>
        <v>0</v>
      </c>
      <c r="AI32" s="349">
        <f>SUMIF(productsSku,bhpc_data[[#This Row],[sku]],productsQty)+SUMIF(productsSku,bhpc_data[[#This Row],[sku]],productsDiscQty)</f>
        <v>0</v>
      </c>
      <c r="AJ32" s="349">
        <f>SUMIF(productsSku,bhpc_data[[#This Row],[sku]],productsFocQty)</f>
        <v>0</v>
      </c>
      <c r="AK32" s="350">
        <f>bhpc_data!$AI32+bhpc_data!$AJ32</f>
        <v>0</v>
      </c>
      <c r="AL32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2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32" s="551" t="str">
        <f>IF(bhpc_data[[#This Row],[hs_code]]="","",IF(bhpc_data[[#This Row],[hs_code]]="33030090",bhpc_data[[#This Row],[tot_order]]/bhpc_data[[#This Row],[units_per_carton]]*bhpc_data[[#This Row],[net_weight]],0))</f>
        <v/>
      </c>
      <c r="AO32" s="568">
        <f>IFERROR(bhpc_data[[#This Row],[tot_order]]/bhpc_data[[#This Row],[units_per_carton]]/bhpc_data[[#This Row],[box_per_europallet]],"")</f>
        <v>0</v>
      </c>
      <c r="AP32" s="568" t="str">
        <f>IFERROR(bhpc_data[[#This Row],[tot_order]]/bhpc_data[[#This Row],[units_per_carton]]/bhpc_data[[#This Row],[box_per_pallet]],"")</f>
        <v/>
      </c>
      <c r="AQ32" s="581">
        <f>IFERROR(ROUNDUP(bhpc_data[[#This Row],[pallet_euro]],0),"")</f>
        <v>0</v>
      </c>
      <c r="AR32" s="581" t="str">
        <f>IFERROR(ROUNDUP(bhpc_data[[#This Row],[pallet]],0),"")</f>
        <v/>
      </c>
      <c r="AV32" s="77" t="s">
        <v>140</v>
      </c>
    </row>
    <row r="33" spans="1:48">
      <c r="A33" s="77" t="s">
        <v>222</v>
      </c>
      <c r="B33" s="77" t="s">
        <v>37</v>
      </c>
      <c r="C33" s="77">
        <v>2</v>
      </c>
      <c r="D33" s="77" t="s">
        <v>38</v>
      </c>
      <c r="E33" s="80">
        <v>6291107160740</v>
      </c>
      <c r="F33" s="591" t="s">
        <v>171</v>
      </c>
      <c r="G33" s="77" t="s">
        <v>223</v>
      </c>
      <c r="AA33" s="351" t="e">
        <f>ROUNDUP(bhpc_data!$AI33/bhpc_data[[#This Row],[units_per_carton]],0)</f>
        <v>#DIV/0!</v>
      </c>
      <c r="AB33" s="351" t="e">
        <f>bhpc_data!$AJ33/bhpc_data[[#This Row],[units_per_carton]]</f>
        <v>#DIV/0!</v>
      </c>
      <c r="AC33" s="351" t="e">
        <f>(bhpc_data[[#This Row],[net_weight]]/bhpc_data[[#This Row],[units_per_carton]])*bhpc_data!$AK33*bhpc_data[[#This Row],[product1_weight]]</f>
        <v>#DIV/0!</v>
      </c>
      <c r="AD33" s="351" t="e">
        <f>(bhpc_data[[#This Row],[net_weight]]/bhpc_data[[#This Row],[units_per_carton]])*bhpc_data!$AK33*bhpc_data[[#This Row],[product2_weight]]</f>
        <v>#DIV/0!</v>
      </c>
      <c r="AE33" s="351" t="e">
        <f>(bhpc_data[[#This Row],[gross_weight]]/bhpc_data[[#This Row],[units_per_carton]])*bhpc_data!$AK33*bhpc_data[[#This Row],[product1_weight]]</f>
        <v>#DIV/0!</v>
      </c>
      <c r="AF33" s="351" t="e">
        <f>(bhpc_data[[#This Row],[gross_weight]]/bhpc_data[[#This Row],[units_per_carton]])*bhpc_data!$AK33*bhpc_data[[#This Row],[product2_weight]]</f>
        <v>#DIV/0!</v>
      </c>
      <c r="AG33" s="351" t="e">
        <f>(bhpc_data[[#This Row],[lenght]]*bhpc_data[[#This Row],[width]]*bhpc_data[[#This Row],[height]])/1000000000*bhpc_data!$AK33/bhpc_data[[#This Row],[units_per_carton]]*bhpc_data[[#This Row],[product1_weight]]</f>
        <v>#DIV/0!</v>
      </c>
      <c r="AH33" s="351" t="e">
        <f>(bhpc_data[[#This Row],[lenght]]*bhpc_data[[#This Row],[width]]*bhpc_data[[#This Row],[height]])/1000000000*bhpc_data!$AK33/bhpc_data[[#This Row],[units_per_carton]]*bhpc_data[[#This Row],[product2_weight]]</f>
        <v>#DIV/0!</v>
      </c>
      <c r="AI33" s="352">
        <f>SUMIF(productsSku,bhpc_data[[#This Row],[sku]],productsQty)+SUMIF(productsSku,bhpc_data[[#This Row],[sku]],productsDiscQty)</f>
        <v>0</v>
      </c>
      <c r="AJ33" s="352">
        <f>SUMIF(productsSku,bhpc_data[[#This Row],[sku]],productsFocQty)</f>
        <v>0</v>
      </c>
      <c r="AK33" s="353">
        <f>bhpc_data!$AI33+bhpc_data!$AJ33</f>
        <v>0</v>
      </c>
      <c r="AL33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3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33" s="551">
        <f>IF(bhpc_data[[#This Row],[hs_code]]="","",IF(bhpc_data[[#This Row],[hs_code]]="33030090",bhpc_data[[#This Row],[tot_order]]/bhpc_data[[#This Row],[units_per_carton]]*bhpc_data[[#This Row],[net_weight]],0))</f>
        <v>0</v>
      </c>
      <c r="AO33" s="568" t="str">
        <f>IFERROR(bhpc_data[[#This Row],[tot_order]]/bhpc_data[[#This Row],[units_per_carton]]/bhpc_data[[#This Row],[box_per_europallet]],"")</f>
        <v/>
      </c>
      <c r="AP33" s="568" t="str">
        <f>IFERROR(bhpc_data[[#This Row],[tot_order]]/bhpc_data[[#This Row],[units_per_carton]]/bhpc_data[[#This Row],[box_per_pallet]],"")</f>
        <v/>
      </c>
      <c r="AQ33" s="581" t="str">
        <f>IFERROR(ROUNDUP(bhpc_data[[#This Row],[pallet_euro]],0),"")</f>
        <v/>
      </c>
      <c r="AR33" s="581" t="str">
        <f>IFERROR(ROUNDUP(bhpc_data[[#This Row],[pallet]],0),"")</f>
        <v/>
      </c>
      <c r="AV33" s="77" t="s">
        <v>142</v>
      </c>
    </row>
    <row r="34" spans="1:48">
      <c r="A34" s="77" t="s">
        <v>224</v>
      </c>
      <c r="B34" s="77" t="s">
        <v>37</v>
      </c>
      <c r="C34" s="77">
        <v>2</v>
      </c>
      <c r="D34" s="77" t="s">
        <v>38</v>
      </c>
      <c r="E34" s="80">
        <v>6291107160740</v>
      </c>
      <c r="F34" s="591" t="s">
        <v>171</v>
      </c>
      <c r="G34" s="77" t="s">
        <v>225</v>
      </c>
      <c r="AA34" s="348" t="e">
        <f>ROUNDUP(bhpc_data!$AI34/bhpc_data[[#This Row],[units_per_carton]],0)</f>
        <v>#DIV/0!</v>
      </c>
      <c r="AB34" s="348" t="e">
        <f>bhpc_data!$AJ34/bhpc_data[[#This Row],[units_per_carton]]</f>
        <v>#DIV/0!</v>
      </c>
      <c r="AC34" s="348" t="e">
        <f>(bhpc_data[[#This Row],[net_weight]]/bhpc_data[[#This Row],[units_per_carton]])*bhpc_data!$AK34*bhpc_data[[#This Row],[product1_weight]]</f>
        <v>#DIV/0!</v>
      </c>
      <c r="AD34" s="348" t="e">
        <f>(bhpc_data[[#This Row],[net_weight]]/bhpc_data[[#This Row],[units_per_carton]])*bhpc_data!$AK34*bhpc_data[[#This Row],[product2_weight]]</f>
        <v>#DIV/0!</v>
      </c>
      <c r="AE34" s="348" t="e">
        <f>(bhpc_data[[#This Row],[gross_weight]]/bhpc_data[[#This Row],[units_per_carton]])*bhpc_data!$AK34*bhpc_data[[#This Row],[product1_weight]]</f>
        <v>#DIV/0!</v>
      </c>
      <c r="AF34" s="348" t="e">
        <f>(bhpc_data[[#This Row],[gross_weight]]/bhpc_data[[#This Row],[units_per_carton]])*bhpc_data!$AK34*bhpc_data[[#This Row],[product2_weight]]</f>
        <v>#DIV/0!</v>
      </c>
      <c r="AG34" s="348" t="e">
        <f>(bhpc_data[[#This Row],[lenght]]*bhpc_data[[#This Row],[width]]*bhpc_data[[#This Row],[height]])/1000000000*bhpc_data!$AK34/bhpc_data[[#This Row],[units_per_carton]]*bhpc_data[[#This Row],[product1_weight]]</f>
        <v>#DIV/0!</v>
      </c>
      <c r="AH34" s="348" t="e">
        <f>(bhpc_data[[#This Row],[lenght]]*bhpc_data[[#This Row],[width]]*bhpc_data[[#This Row],[height]])/1000000000*bhpc_data!$AK34/bhpc_data[[#This Row],[units_per_carton]]*bhpc_data[[#This Row],[product2_weight]]</f>
        <v>#DIV/0!</v>
      </c>
      <c r="AI34" s="349">
        <f>SUMIF(productsSku,bhpc_data[[#This Row],[sku]],productsQty)+SUMIF(productsSku,bhpc_data[[#This Row],[sku]],productsDiscQty)</f>
        <v>0</v>
      </c>
      <c r="AJ34" s="349">
        <f>SUMIF(productsSku,bhpc_data[[#This Row],[sku]],productsFocQty)</f>
        <v>0</v>
      </c>
      <c r="AK34" s="350">
        <f>bhpc_data!$AI34+bhpc_data!$AJ34</f>
        <v>0</v>
      </c>
      <c r="AL34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4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34" s="551">
        <f>IF(bhpc_data[[#This Row],[hs_code]]="","",IF(bhpc_data[[#This Row],[hs_code]]="33030090",bhpc_data[[#This Row],[tot_order]]/bhpc_data[[#This Row],[units_per_carton]]*bhpc_data[[#This Row],[net_weight]],0))</f>
        <v>0</v>
      </c>
      <c r="AO34" s="568" t="str">
        <f>IFERROR(bhpc_data[[#This Row],[tot_order]]/bhpc_data[[#This Row],[units_per_carton]]/bhpc_data[[#This Row],[box_per_europallet]],"")</f>
        <v/>
      </c>
      <c r="AP34" s="568" t="str">
        <f>IFERROR(bhpc_data[[#This Row],[tot_order]]/bhpc_data[[#This Row],[units_per_carton]]/bhpc_data[[#This Row],[box_per_pallet]],"")</f>
        <v/>
      </c>
      <c r="AQ34" s="581" t="str">
        <f>IFERROR(ROUNDUP(bhpc_data[[#This Row],[pallet_euro]],0),"")</f>
        <v/>
      </c>
      <c r="AR34" s="581" t="str">
        <f>IFERROR(ROUNDUP(bhpc_data[[#This Row],[pallet]],0),"")</f>
        <v/>
      </c>
      <c r="AV34" s="77" t="s">
        <v>161</v>
      </c>
    </row>
    <row r="35" spans="1:48">
      <c r="A35" s="77" t="s">
        <v>226</v>
      </c>
      <c r="B35" s="77" t="s">
        <v>37</v>
      </c>
      <c r="C35" s="77">
        <v>2</v>
      </c>
      <c r="D35" s="77" t="s">
        <v>38</v>
      </c>
      <c r="E35" s="80">
        <v>6291107160740</v>
      </c>
      <c r="F35" s="591" t="s">
        <v>171</v>
      </c>
      <c r="G35" s="77" t="s">
        <v>227</v>
      </c>
      <c r="AA35" s="351" t="e">
        <f>ROUNDUP(bhpc_data!$AI35/bhpc_data[[#This Row],[units_per_carton]],0)</f>
        <v>#DIV/0!</v>
      </c>
      <c r="AB35" s="351" t="e">
        <f>bhpc_data!$AJ35/bhpc_data[[#This Row],[units_per_carton]]</f>
        <v>#DIV/0!</v>
      </c>
      <c r="AC35" s="351" t="e">
        <f>(bhpc_data[[#This Row],[net_weight]]/bhpc_data[[#This Row],[units_per_carton]])*bhpc_data!$AK35*bhpc_data[[#This Row],[product1_weight]]</f>
        <v>#DIV/0!</v>
      </c>
      <c r="AD35" s="351" t="e">
        <f>(bhpc_data[[#This Row],[net_weight]]/bhpc_data[[#This Row],[units_per_carton]])*bhpc_data!$AK35*bhpc_data[[#This Row],[product2_weight]]</f>
        <v>#DIV/0!</v>
      </c>
      <c r="AE35" s="351" t="e">
        <f>(bhpc_data[[#This Row],[gross_weight]]/bhpc_data[[#This Row],[units_per_carton]])*bhpc_data!$AK35*bhpc_data[[#This Row],[product1_weight]]</f>
        <v>#DIV/0!</v>
      </c>
      <c r="AF35" s="351" t="e">
        <f>(bhpc_data[[#This Row],[gross_weight]]/bhpc_data[[#This Row],[units_per_carton]])*bhpc_data!$AK35*bhpc_data[[#This Row],[product2_weight]]</f>
        <v>#DIV/0!</v>
      </c>
      <c r="AG35" s="351" t="e">
        <f>(bhpc_data[[#This Row],[lenght]]*bhpc_data[[#This Row],[width]]*bhpc_data[[#This Row],[height]])/1000000000*bhpc_data!$AK35/bhpc_data[[#This Row],[units_per_carton]]*bhpc_data[[#This Row],[product1_weight]]</f>
        <v>#DIV/0!</v>
      </c>
      <c r="AH35" s="351" t="e">
        <f>(bhpc_data[[#This Row],[lenght]]*bhpc_data[[#This Row],[width]]*bhpc_data[[#This Row],[height]])/1000000000*bhpc_data!$AK35/bhpc_data[[#This Row],[units_per_carton]]*bhpc_data[[#This Row],[product2_weight]]</f>
        <v>#DIV/0!</v>
      </c>
      <c r="AI35" s="352">
        <f>SUMIF(productsSku,bhpc_data[[#This Row],[sku]],productsQty)+SUMIF(productsSku,bhpc_data[[#This Row],[sku]],productsDiscQty)</f>
        <v>0</v>
      </c>
      <c r="AJ35" s="352">
        <f>SUMIF(productsSku,bhpc_data[[#This Row],[sku]],productsFocQty)</f>
        <v>0</v>
      </c>
      <c r="AK35" s="353">
        <f>bhpc_data!$AI35+bhpc_data!$AJ35</f>
        <v>0</v>
      </c>
      <c r="AL35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5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35" s="551">
        <f>IF(bhpc_data[[#This Row],[hs_code]]="","",IF(bhpc_data[[#This Row],[hs_code]]="33030090",bhpc_data[[#This Row],[tot_order]]/bhpc_data[[#This Row],[units_per_carton]]*bhpc_data[[#This Row],[net_weight]],0))</f>
        <v>0</v>
      </c>
      <c r="AO35" s="568" t="str">
        <f>IFERROR(bhpc_data[[#This Row],[tot_order]]/bhpc_data[[#This Row],[units_per_carton]]/bhpc_data[[#This Row],[box_per_europallet]],"")</f>
        <v/>
      </c>
      <c r="AP35" s="568" t="str">
        <f>IFERROR(bhpc_data[[#This Row],[tot_order]]/bhpc_data[[#This Row],[units_per_carton]]/bhpc_data[[#This Row],[box_per_pallet]],"")</f>
        <v/>
      </c>
      <c r="AQ35" s="581" t="str">
        <f>IFERROR(ROUNDUP(bhpc_data[[#This Row],[pallet_euro]],0),"")</f>
        <v/>
      </c>
      <c r="AR35" s="581" t="str">
        <f>IFERROR(ROUNDUP(bhpc_data[[#This Row],[pallet]],0),"")</f>
        <v/>
      </c>
      <c r="AV35" s="77" t="s">
        <v>163</v>
      </c>
    </row>
    <row r="36" spans="1:48">
      <c r="A36" s="77" t="s">
        <v>180</v>
      </c>
      <c r="B36" s="77" t="s">
        <v>170</v>
      </c>
      <c r="C36" s="77">
        <v>1</v>
      </c>
      <c r="D36" s="77" t="s">
        <v>38</v>
      </c>
      <c r="E36" s="79">
        <v>8718719850008</v>
      </c>
      <c r="F36" s="591" t="s">
        <v>171</v>
      </c>
      <c r="G36" s="77" t="s">
        <v>181</v>
      </c>
      <c r="H36" s="78" t="s">
        <v>173</v>
      </c>
      <c r="I36" s="559">
        <v>48</v>
      </c>
      <c r="J36" s="559">
        <v>36</v>
      </c>
      <c r="K36" s="559">
        <v>4</v>
      </c>
      <c r="L36" s="559">
        <v>9</v>
      </c>
      <c r="M36" s="566">
        <v>54</v>
      </c>
      <c r="N36" s="77">
        <v>485</v>
      </c>
      <c r="O36" s="77">
        <v>360</v>
      </c>
      <c r="P36" s="77">
        <v>195</v>
      </c>
      <c r="Q36" s="77">
        <v>7.48</v>
      </c>
      <c r="R36" s="77">
        <v>7.7</v>
      </c>
      <c r="S36" s="77">
        <v>175</v>
      </c>
      <c r="T36" s="77">
        <v>0</v>
      </c>
      <c r="U36" s="77">
        <v>0</v>
      </c>
      <c r="V36" s="77">
        <v>1</v>
      </c>
      <c r="W36" s="77">
        <v>0</v>
      </c>
      <c r="X36" s="77">
        <v>0</v>
      </c>
      <c r="Y36" s="77">
        <v>0</v>
      </c>
      <c r="Z36" s="78" t="s">
        <v>41</v>
      </c>
      <c r="AA36" s="348">
        <f>ROUNDUP(bhpc_data!$AI36/bhpc_data[[#This Row],[units_per_carton]],0)</f>
        <v>0</v>
      </c>
      <c r="AB36" s="348">
        <f>bhpc_data!$AJ36/bhpc_data[[#This Row],[units_per_carton]]</f>
        <v>0</v>
      </c>
      <c r="AC36" s="348">
        <f>(bhpc_data[[#This Row],[net_weight]]/bhpc_data[[#This Row],[units_per_carton]])*bhpc_data!$AK36*bhpc_data[[#This Row],[product1_weight]]</f>
        <v>0</v>
      </c>
      <c r="AD36" s="348">
        <f>(bhpc_data[[#This Row],[net_weight]]/bhpc_data[[#This Row],[units_per_carton]])*bhpc_data!$AK36*bhpc_data[[#This Row],[product2_weight]]</f>
        <v>0</v>
      </c>
      <c r="AE36" s="348">
        <f>(bhpc_data[[#This Row],[gross_weight]]/bhpc_data[[#This Row],[units_per_carton]])*bhpc_data!$AK36*bhpc_data[[#This Row],[product1_weight]]</f>
        <v>0</v>
      </c>
      <c r="AF36" s="348">
        <f>(bhpc_data[[#This Row],[gross_weight]]/bhpc_data[[#This Row],[units_per_carton]])*bhpc_data!$AK36*bhpc_data[[#This Row],[product2_weight]]</f>
        <v>0</v>
      </c>
      <c r="AG36" s="348">
        <f>(bhpc_data[[#This Row],[lenght]]*bhpc_data[[#This Row],[width]]*bhpc_data[[#This Row],[height]])/1000000000*bhpc_data!$AK36/bhpc_data[[#This Row],[units_per_carton]]*bhpc_data[[#This Row],[product1_weight]]</f>
        <v>0</v>
      </c>
      <c r="AH36" s="348">
        <f>(bhpc_data[[#This Row],[lenght]]*bhpc_data[[#This Row],[width]]*bhpc_data[[#This Row],[height]])/1000000000*bhpc_data!$AK36/bhpc_data[[#This Row],[units_per_carton]]*bhpc_data[[#This Row],[product2_weight]]</f>
        <v>0</v>
      </c>
      <c r="AI36" s="349">
        <f>SUMIF(productsSku,bhpc_data[[#This Row],[sku]],productsQty)+SUMIF(productsSku,bhpc_data[[#This Row],[sku]],productsDiscQty)</f>
        <v>0</v>
      </c>
      <c r="AJ36" s="349">
        <f>SUMIF(productsSku,bhpc_data[[#This Row],[sku]],productsFocQty)</f>
        <v>0</v>
      </c>
      <c r="AK36" s="350">
        <f>bhpc_data!$AI36+bhpc_data!$AJ36</f>
        <v>0</v>
      </c>
      <c r="AL36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6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36" s="551">
        <f>IF(bhpc_data[[#This Row],[hs_code]]="","",IF(bhpc_data[[#This Row],[hs_code]]="33030090",bhpc_data[[#This Row],[tot_order]]/bhpc_data[[#This Row],[units_per_carton]]*bhpc_data[[#This Row],[net_weight]],0))</f>
        <v>0</v>
      </c>
      <c r="AO36" s="568">
        <f>IFERROR(bhpc_data[[#This Row],[tot_order]]/bhpc_data[[#This Row],[units_per_carton]]/bhpc_data[[#This Row],[box_per_europallet]],"")</f>
        <v>0</v>
      </c>
      <c r="AP36" s="568">
        <f>IFERROR(bhpc_data[[#This Row],[tot_order]]/bhpc_data[[#This Row],[units_per_carton]]/bhpc_data[[#This Row],[box_per_pallet]],"")</f>
        <v>0</v>
      </c>
      <c r="AQ36" s="581">
        <f>IFERROR(ROUNDUP(bhpc_data[[#This Row],[pallet_euro]],0),"")</f>
        <v>0</v>
      </c>
      <c r="AR36" s="581">
        <f>IFERROR(ROUNDUP(bhpc_data[[#This Row],[pallet]],0),"")</f>
        <v>0</v>
      </c>
      <c r="AV36" s="77" t="s">
        <v>201</v>
      </c>
    </row>
    <row r="37" spans="1:48">
      <c r="A37" s="77" t="s">
        <v>182</v>
      </c>
      <c r="B37" s="77" t="s">
        <v>170</v>
      </c>
      <c r="C37" s="77">
        <v>1</v>
      </c>
      <c r="D37" s="77" t="s">
        <v>38</v>
      </c>
      <c r="E37" s="79">
        <v>8718719850015</v>
      </c>
      <c r="F37" s="591" t="s">
        <v>171</v>
      </c>
      <c r="G37" s="77" t="s">
        <v>183</v>
      </c>
      <c r="H37" s="78" t="s">
        <v>173</v>
      </c>
      <c r="I37" s="559">
        <v>48</v>
      </c>
      <c r="J37" s="559">
        <v>36</v>
      </c>
      <c r="K37" s="559">
        <v>4</v>
      </c>
      <c r="L37" s="559">
        <v>9</v>
      </c>
      <c r="M37" s="566">
        <v>54</v>
      </c>
      <c r="N37" s="77">
        <v>485</v>
      </c>
      <c r="O37" s="77">
        <v>360</v>
      </c>
      <c r="P37" s="77">
        <v>195</v>
      </c>
      <c r="Q37" s="77">
        <v>7.48</v>
      </c>
      <c r="R37" s="77">
        <v>7.7</v>
      </c>
      <c r="S37" s="77">
        <v>175</v>
      </c>
      <c r="T37" s="77">
        <v>0</v>
      </c>
      <c r="U37" s="77">
        <v>0</v>
      </c>
      <c r="V37" s="77">
        <v>1</v>
      </c>
      <c r="W37" s="77">
        <v>0</v>
      </c>
      <c r="X37" s="77">
        <v>0</v>
      </c>
      <c r="Y37" s="77">
        <v>0</v>
      </c>
      <c r="Z37" s="78" t="s">
        <v>41</v>
      </c>
      <c r="AA37" s="351">
        <f>ROUNDUP(bhpc_data!$AI37/bhpc_data[[#This Row],[units_per_carton]],0)</f>
        <v>0</v>
      </c>
      <c r="AB37" s="351">
        <f>bhpc_data!$AJ37/bhpc_data[[#This Row],[units_per_carton]]</f>
        <v>0</v>
      </c>
      <c r="AC37" s="351">
        <f>(bhpc_data[[#This Row],[net_weight]]/bhpc_data[[#This Row],[units_per_carton]])*bhpc_data!$AK37*bhpc_data[[#This Row],[product1_weight]]</f>
        <v>0</v>
      </c>
      <c r="AD37" s="351">
        <f>(bhpc_data[[#This Row],[net_weight]]/bhpc_data[[#This Row],[units_per_carton]])*bhpc_data!$AK37*bhpc_data[[#This Row],[product2_weight]]</f>
        <v>0</v>
      </c>
      <c r="AE37" s="351">
        <f>(bhpc_data[[#This Row],[gross_weight]]/bhpc_data[[#This Row],[units_per_carton]])*bhpc_data!$AK37*bhpc_data[[#This Row],[product1_weight]]</f>
        <v>0</v>
      </c>
      <c r="AF37" s="351">
        <f>(bhpc_data[[#This Row],[gross_weight]]/bhpc_data[[#This Row],[units_per_carton]])*bhpc_data!$AK37*bhpc_data[[#This Row],[product2_weight]]</f>
        <v>0</v>
      </c>
      <c r="AG37" s="351">
        <f>(bhpc_data[[#This Row],[lenght]]*bhpc_data[[#This Row],[width]]*bhpc_data[[#This Row],[height]])/1000000000*bhpc_data!$AK37/bhpc_data[[#This Row],[units_per_carton]]*bhpc_data[[#This Row],[product1_weight]]</f>
        <v>0</v>
      </c>
      <c r="AH37" s="351">
        <f>(bhpc_data[[#This Row],[lenght]]*bhpc_data[[#This Row],[width]]*bhpc_data[[#This Row],[height]])/1000000000*bhpc_data!$AK37/bhpc_data[[#This Row],[units_per_carton]]*bhpc_data[[#This Row],[product2_weight]]</f>
        <v>0</v>
      </c>
      <c r="AI37" s="352">
        <f>SUMIF(productsSku,bhpc_data[[#This Row],[sku]],productsQty)+SUMIF(productsSku,bhpc_data[[#This Row],[sku]],productsDiscQty)</f>
        <v>0</v>
      </c>
      <c r="AJ37" s="352">
        <f>SUMIF(productsSku,bhpc_data[[#This Row],[sku]],productsFocQty)</f>
        <v>0</v>
      </c>
      <c r="AK37" s="353">
        <f>bhpc_data!$AI37+bhpc_data!$AJ37</f>
        <v>0</v>
      </c>
      <c r="AL37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7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37" s="551">
        <f>IF(bhpc_data[[#This Row],[hs_code]]="","",IF(bhpc_data[[#This Row],[hs_code]]="33030090",bhpc_data[[#This Row],[tot_order]]/bhpc_data[[#This Row],[units_per_carton]]*bhpc_data[[#This Row],[net_weight]],0))</f>
        <v>0</v>
      </c>
      <c r="AO37" s="568">
        <f>IFERROR(bhpc_data[[#This Row],[tot_order]]/bhpc_data[[#This Row],[units_per_carton]]/bhpc_data[[#This Row],[box_per_europallet]],"")</f>
        <v>0</v>
      </c>
      <c r="AP37" s="568">
        <f>IFERROR(bhpc_data[[#This Row],[tot_order]]/bhpc_data[[#This Row],[units_per_carton]]/bhpc_data[[#This Row],[box_per_pallet]],"")</f>
        <v>0</v>
      </c>
      <c r="AQ37" s="581">
        <f>IFERROR(ROUNDUP(bhpc_data[[#This Row],[pallet_euro]],0),"")</f>
        <v>0</v>
      </c>
      <c r="AR37" s="581">
        <f>IFERROR(ROUNDUP(bhpc_data[[#This Row],[pallet]],0),"")</f>
        <v>0</v>
      </c>
      <c r="AV37" s="77" t="s">
        <v>204</v>
      </c>
    </row>
    <row r="38" spans="1:48">
      <c r="A38" s="77" t="s">
        <v>184</v>
      </c>
      <c r="B38" s="77" t="s">
        <v>170</v>
      </c>
      <c r="C38" s="77">
        <v>1</v>
      </c>
      <c r="D38" s="77" t="s">
        <v>38</v>
      </c>
      <c r="E38" s="79">
        <v>8718719850022</v>
      </c>
      <c r="F38" s="591" t="s">
        <v>171</v>
      </c>
      <c r="G38" s="77" t="s">
        <v>185</v>
      </c>
      <c r="H38" s="78" t="s">
        <v>173</v>
      </c>
      <c r="I38" s="559">
        <v>48</v>
      </c>
      <c r="J38" s="559">
        <v>36</v>
      </c>
      <c r="K38" s="559">
        <v>4</v>
      </c>
      <c r="L38" s="559">
        <v>9</v>
      </c>
      <c r="M38" s="566">
        <v>54</v>
      </c>
      <c r="N38" s="77">
        <v>485</v>
      </c>
      <c r="O38" s="77">
        <v>360</v>
      </c>
      <c r="P38" s="77">
        <v>195</v>
      </c>
      <c r="Q38" s="77">
        <v>7.48</v>
      </c>
      <c r="R38" s="77">
        <v>7.7</v>
      </c>
      <c r="S38" s="77">
        <v>175</v>
      </c>
      <c r="T38" s="77">
        <v>0</v>
      </c>
      <c r="U38" s="77">
        <v>0</v>
      </c>
      <c r="V38" s="77">
        <v>1</v>
      </c>
      <c r="W38" s="77">
        <v>0</v>
      </c>
      <c r="X38" s="77">
        <v>0</v>
      </c>
      <c r="Y38" s="77">
        <v>0</v>
      </c>
      <c r="Z38" s="78" t="s">
        <v>41</v>
      </c>
      <c r="AA38" s="348">
        <f>ROUNDUP(bhpc_data!$AI38/bhpc_data[[#This Row],[units_per_carton]],0)</f>
        <v>0</v>
      </c>
      <c r="AB38" s="348">
        <f>bhpc_data!$AJ38/bhpc_data[[#This Row],[units_per_carton]]</f>
        <v>0</v>
      </c>
      <c r="AC38" s="348">
        <f>(bhpc_data[[#This Row],[net_weight]]/bhpc_data[[#This Row],[units_per_carton]])*bhpc_data!$AK38*bhpc_data[[#This Row],[product1_weight]]</f>
        <v>0</v>
      </c>
      <c r="AD38" s="348">
        <f>(bhpc_data[[#This Row],[net_weight]]/bhpc_data[[#This Row],[units_per_carton]])*bhpc_data!$AK38*bhpc_data[[#This Row],[product2_weight]]</f>
        <v>0</v>
      </c>
      <c r="AE38" s="348">
        <f>(bhpc_data[[#This Row],[gross_weight]]/bhpc_data[[#This Row],[units_per_carton]])*bhpc_data!$AK38*bhpc_data[[#This Row],[product1_weight]]</f>
        <v>0</v>
      </c>
      <c r="AF38" s="348">
        <f>(bhpc_data[[#This Row],[gross_weight]]/bhpc_data[[#This Row],[units_per_carton]])*bhpc_data!$AK38*bhpc_data[[#This Row],[product2_weight]]</f>
        <v>0</v>
      </c>
      <c r="AG38" s="348">
        <f>(bhpc_data[[#This Row],[lenght]]*bhpc_data[[#This Row],[width]]*bhpc_data[[#This Row],[height]])/1000000000*bhpc_data!$AK38/bhpc_data[[#This Row],[units_per_carton]]*bhpc_data[[#This Row],[product1_weight]]</f>
        <v>0</v>
      </c>
      <c r="AH38" s="348">
        <f>(bhpc_data[[#This Row],[lenght]]*bhpc_data[[#This Row],[width]]*bhpc_data[[#This Row],[height]])/1000000000*bhpc_data!$AK38/bhpc_data[[#This Row],[units_per_carton]]*bhpc_data[[#This Row],[product2_weight]]</f>
        <v>0</v>
      </c>
      <c r="AI38" s="349">
        <f>SUMIF(productsSku,bhpc_data[[#This Row],[sku]],productsQty)+SUMIF(productsSku,bhpc_data[[#This Row],[sku]],productsDiscQty)</f>
        <v>0</v>
      </c>
      <c r="AJ38" s="349">
        <f>SUMIF(productsSku,bhpc_data[[#This Row],[sku]],productsFocQty)</f>
        <v>0</v>
      </c>
      <c r="AK38" s="350">
        <f>bhpc_data!$AI38+bhpc_data!$AJ38</f>
        <v>0</v>
      </c>
      <c r="AL38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8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38" s="551">
        <f>IF(bhpc_data[[#This Row],[hs_code]]="","",IF(bhpc_data[[#This Row],[hs_code]]="33030090",bhpc_data[[#This Row],[tot_order]]/bhpc_data[[#This Row],[units_per_carton]]*bhpc_data[[#This Row],[net_weight]],0))</f>
        <v>0</v>
      </c>
      <c r="AO38" s="568">
        <f>IFERROR(bhpc_data[[#This Row],[tot_order]]/bhpc_data[[#This Row],[units_per_carton]]/bhpc_data[[#This Row],[box_per_europallet]],"")</f>
        <v>0</v>
      </c>
      <c r="AP38" s="568">
        <f>IFERROR(bhpc_data[[#This Row],[tot_order]]/bhpc_data[[#This Row],[units_per_carton]]/bhpc_data[[#This Row],[box_per_pallet]],"")</f>
        <v>0</v>
      </c>
      <c r="AQ38" s="581">
        <f>IFERROR(ROUNDUP(bhpc_data[[#This Row],[pallet_euro]],0),"")</f>
        <v>0</v>
      </c>
      <c r="AR38" s="581">
        <f>IFERROR(ROUNDUP(bhpc_data[[#This Row],[pallet]],0),"")</f>
        <v>0</v>
      </c>
      <c r="AV38" s="77" t="s">
        <v>206</v>
      </c>
    </row>
    <row r="39" spans="1:48">
      <c r="A39" s="77" t="s">
        <v>186</v>
      </c>
      <c r="B39" s="77" t="s">
        <v>170</v>
      </c>
      <c r="C39" s="77">
        <v>1</v>
      </c>
      <c r="D39" s="77" t="s">
        <v>38</v>
      </c>
      <c r="E39" s="79">
        <v>8718719850039</v>
      </c>
      <c r="F39" s="591" t="s">
        <v>171</v>
      </c>
      <c r="G39" s="77" t="s">
        <v>187</v>
      </c>
      <c r="H39" s="78" t="s">
        <v>173</v>
      </c>
      <c r="I39" s="559">
        <v>48</v>
      </c>
      <c r="J39" s="559">
        <v>36</v>
      </c>
      <c r="K39" s="559">
        <v>4</v>
      </c>
      <c r="L39" s="559">
        <v>9</v>
      </c>
      <c r="M39" s="566">
        <v>54</v>
      </c>
      <c r="N39" s="77">
        <v>485</v>
      </c>
      <c r="O39" s="77">
        <v>360</v>
      </c>
      <c r="P39" s="77">
        <v>195</v>
      </c>
      <c r="Q39" s="77">
        <v>7.48</v>
      </c>
      <c r="R39" s="77">
        <v>7.7</v>
      </c>
      <c r="S39" s="77">
        <v>175</v>
      </c>
      <c r="T39" s="77">
        <v>0</v>
      </c>
      <c r="U39" s="77">
        <v>0</v>
      </c>
      <c r="V39" s="77">
        <v>1</v>
      </c>
      <c r="W39" s="77">
        <v>0</v>
      </c>
      <c r="X39" s="77">
        <v>0</v>
      </c>
      <c r="Y39" s="77">
        <v>0</v>
      </c>
      <c r="Z39" s="78" t="s">
        <v>41</v>
      </c>
      <c r="AA39" s="351">
        <f>ROUNDUP(bhpc_data!$AI39/bhpc_data[[#This Row],[units_per_carton]],0)</f>
        <v>0</v>
      </c>
      <c r="AB39" s="351">
        <f>bhpc_data!$AJ39/bhpc_data[[#This Row],[units_per_carton]]</f>
        <v>0</v>
      </c>
      <c r="AC39" s="351">
        <f>(bhpc_data[[#This Row],[net_weight]]/bhpc_data[[#This Row],[units_per_carton]])*bhpc_data!$AK39*bhpc_data[[#This Row],[product1_weight]]</f>
        <v>0</v>
      </c>
      <c r="AD39" s="351">
        <f>(bhpc_data[[#This Row],[net_weight]]/bhpc_data[[#This Row],[units_per_carton]])*bhpc_data!$AK39*bhpc_data[[#This Row],[product2_weight]]</f>
        <v>0</v>
      </c>
      <c r="AE39" s="351">
        <f>(bhpc_data[[#This Row],[gross_weight]]/bhpc_data[[#This Row],[units_per_carton]])*bhpc_data!$AK39*bhpc_data[[#This Row],[product1_weight]]</f>
        <v>0</v>
      </c>
      <c r="AF39" s="351">
        <f>(bhpc_data[[#This Row],[gross_weight]]/bhpc_data[[#This Row],[units_per_carton]])*bhpc_data!$AK39*bhpc_data[[#This Row],[product2_weight]]</f>
        <v>0</v>
      </c>
      <c r="AG39" s="351">
        <f>(bhpc_data[[#This Row],[lenght]]*bhpc_data[[#This Row],[width]]*bhpc_data[[#This Row],[height]])/1000000000*bhpc_data!$AK39/bhpc_data[[#This Row],[units_per_carton]]*bhpc_data[[#This Row],[product1_weight]]</f>
        <v>0</v>
      </c>
      <c r="AH39" s="351">
        <f>(bhpc_data[[#This Row],[lenght]]*bhpc_data[[#This Row],[width]]*bhpc_data[[#This Row],[height]])/1000000000*bhpc_data!$AK39/bhpc_data[[#This Row],[units_per_carton]]*bhpc_data[[#This Row],[product2_weight]]</f>
        <v>0</v>
      </c>
      <c r="AI39" s="352">
        <f>SUMIF(productsSku,bhpc_data[[#This Row],[sku]],productsQty)+SUMIF(productsSku,bhpc_data[[#This Row],[sku]],productsDiscQty)</f>
        <v>0</v>
      </c>
      <c r="AJ39" s="352">
        <f>SUMIF(productsSku,bhpc_data[[#This Row],[sku]],productsFocQty)</f>
        <v>0</v>
      </c>
      <c r="AK39" s="353">
        <f>bhpc_data!$AI39+bhpc_data!$AJ39</f>
        <v>0</v>
      </c>
      <c r="AL39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39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39" s="551">
        <f>IF(bhpc_data[[#This Row],[hs_code]]="","",IF(bhpc_data[[#This Row],[hs_code]]="33030090",bhpc_data[[#This Row],[tot_order]]/bhpc_data[[#This Row],[units_per_carton]]*bhpc_data[[#This Row],[net_weight]],0))</f>
        <v>0</v>
      </c>
      <c r="AO39" s="568">
        <f>IFERROR(bhpc_data[[#This Row],[tot_order]]/bhpc_data[[#This Row],[units_per_carton]]/bhpc_data[[#This Row],[box_per_europallet]],"")</f>
        <v>0</v>
      </c>
      <c r="AP39" s="568">
        <f>IFERROR(bhpc_data[[#This Row],[tot_order]]/bhpc_data[[#This Row],[units_per_carton]]/bhpc_data[[#This Row],[box_per_pallet]],"")</f>
        <v>0</v>
      </c>
      <c r="AQ39" s="581">
        <f>IFERROR(ROUNDUP(bhpc_data[[#This Row],[pallet_euro]],0),"")</f>
        <v>0</v>
      </c>
      <c r="AR39" s="581">
        <f>IFERROR(ROUNDUP(bhpc_data[[#This Row],[pallet]],0),"")</f>
        <v>0</v>
      </c>
      <c r="AV39" s="77" t="s">
        <v>208</v>
      </c>
    </row>
    <row r="40" spans="1:48">
      <c r="A40" s="77" t="s">
        <v>111</v>
      </c>
      <c r="B40" s="77" t="s">
        <v>74</v>
      </c>
      <c r="C40" s="77">
        <v>1</v>
      </c>
      <c r="D40" s="77" t="s">
        <v>38</v>
      </c>
      <c r="E40" s="79">
        <v>8718719850046</v>
      </c>
      <c r="F40" s="591" t="s">
        <v>75</v>
      </c>
      <c r="G40" s="77" t="s">
        <v>112</v>
      </c>
      <c r="H40" s="78" t="s">
        <v>77</v>
      </c>
      <c r="I40" s="559">
        <v>24</v>
      </c>
      <c r="J40" s="559">
        <v>64</v>
      </c>
      <c r="K40" s="559">
        <v>8</v>
      </c>
      <c r="L40" s="559">
        <v>8</v>
      </c>
      <c r="M40" s="566">
        <v>64</v>
      </c>
      <c r="N40" s="77">
        <v>430</v>
      </c>
      <c r="O40" s="77">
        <v>300</v>
      </c>
      <c r="P40" s="77">
        <v>174</v>
      </c>
      <c r="Q40" s="77">
        <v>7.52</v>
      </c>
      <c r="R40" s="77">
        <v>8.23</v>
      </c>
      <c r="S40" s="77">
        <v>100</v>
      </c>
      <c r="T40" s="77">
        <v>0</v>
      </c>
      <c r="U40" s="77">
        <v>0</v>
      </c>
      <c r="V40" s="77">
        <v>1</v>
      </c>
      <c r="W40" s="77">
        <v>0</v>
      </c>
      <c r="X40" s="77">
        <v>0</v>
      </c>
      <c r="Y40" s="77">
        <v>0</v>
      </c>
      <c r="Z40" s="78" t="s">
        <v>41</v>
      </c>
      <c r="AA40" s="348">
        <f>ROUNDUP(bhpc_data!$AI40/bhpc_data[[#This Row],[units_per_carton]],0)</f>
        <v>0</v>
      </c>
      <c r="AB40" s="348">
        <f>bhpc_data!$AJ40/bhpc_data[[#This Row],[units_per_carton]]</f>
        <v>0</v>
      </c>
      <c r="AC40" s="348">
        <f>(bhpc_data[[#This Row],[net_weight]]/bhpc_data[[#This Row],[units_per_carton]])*bhpc_data!$AK40*bhpc_data[[#This Row],[product1_weight]]</f>
        <v>0</v>
      </c>
      <c r="AD40" s="348">
        <f>(bhpc_data[[#This Row],[net_weight]]/bhpc_data[[#This Row],[units_per_carton]])*bhpc_data!$AK40*bhpc_data[[#This Row],[product2_weight]]</f>
        <v>0</v>
      </c>
      <c r="AE40" s="348">
        <f>(bhpc_data[[#This Row],[gross_weight]]/bhpc_data[[#This Row],[units_per_carton]])*bhpc_data!$AK40*bhpc_data[[#This Row],[product1_weight]]</f>
        <v>0</v>
      </c>
      <c r="AF40" s="348">
        <f>(bhpc_data[[#This Row],[gross_weight]]/bhpc_data[[#This Row],[units_per_carton]])*bhpc_data!$AK40*bhpc_data[[#This Row],[product2_weight]]</f>
        <v>0</v>
      </c>
      <c r="AG40" s="348">
        <f>(bhpc_data[[#This Row],[lenght]]*bhpc_data[[#This Row],[width]]*bhpc_data[[#This Row],[height]])/1000000000*bhpc_data!$AK40/bhpc_data[[#This Row],[units_per_carton]]*bhpc_data[[#This Row],[product1_weight]]</f>
        <v>0</v>
      </c>
      <c r="AH40" s="348">
        <f>(bhpc_data[[#This Row],[lenght]]*bhpc_data[[#This Row],[width]]*bhpc_data[[#This Row],[height]])/1000000000*bhpc_data!$AK40/bhpc_data[[#This Row],[units_per_carton]]*bhpc_data[[#This Row],[product2_weight]]</f>
        <v>0</v>
      </c>
      <c r="AI40" s="349">
        <f>SUMIF(productsSku,bhpc_data[[#This Row],[sku]],productsQty)+SUMIF(productsSku,bhpc_data[[#This Row],[sku]],productsDiscQty)</f>
        <v>0</v>
      </c>
      <c r="AJ40" s="349">
        <f>SUMIF(productsSku,bhpc_data[[#This Row],[sku]],productsFocQty)</f>
        <v>0</v>
      </c>
      <c r="AK40" s="350">
        <f>bhpc_data!$AI40+bhpc_data!$AJ40</f>
        <v>0</v>
      </c>
      <c r="AL40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0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0" s="551">
        <f>IF(bhpc_data[[#This Row],[hs_code]]="","",IF(bhpc_data[[#This Row],[hs_code]]="33030090",bhpc_data[[#This Row],[tot_order]]/bhpc_data[[#This Row],[units_per_carton]]*bhpc_data[[#This Row],[net_weight]],0))</f>
        <v>0</v>
      </c>
      <c r="AO40" s="568">
        <f>IFERROR(bhpc_data[[#This Row],[tot_order]]/bhpc_data[[#This Row],[units_per_carton]]/bhpc_data[[#This Row],[box_per_europallet]],"")</f>
        <v>0</v>
      </c>
      <c r="AP40" s="568">
        <f>IFERROR(bhpc_data[[#This Row],[tot_order]]/bhpc_data[[#This Row],[units_per_carton]]/bhpc_data[[#This Row],[box_per_pallet]],"")</f>
        <v>0</v>
      </c>
      <c r="AQ40" s="581">
        <f>IFERROR(ROUNDUP(bhpc_data[[#This Row],[pallet_euro]],0),"")</f>
        <v>0</v>
      </c>
      <c r="AR40" s="581">
        <f>IFERROR(ROUNDUP(bhpc_data[[#This Row],[pallet]],0),"")</f>
        <v>0</v>
      </c>
      <c r="AV40" s="77" t="s">
        <v>92</v>
      </c>
    </row>
    <row r="41" spans="1:48">
      <c r="A41" s="77" t="s">
        <v>113</v>
      </c>
      <c r="B41" s="77" t="s">
        <v>74</v>
      </c>
      <c r="C41" s="77">
        <v>1</v>
      </c>
      <c r="D41" s="77" t="s">
        <v>38</v>
      </c>
      <c r="E41" s="79">
        <v>8718719850053</v>
      </c>
      <c r="F41" s="591" t="s">
        <v>75</v>
      </c>
      <c r="G41" s="77" t="s">
        <v>114</v>
      </c>
      <c r="H41" s="78" t="s">
        <v>77</v>
      </c>
      <c r="I41" s="559">
        <v>24</v>
      </c>
      <c r="J41" s="559">
        <v>64</v>
      </c>
      <c r="K41" s="559">
        <v>8</v>
      </c>
      <c r="L41" s="559">
        <v>8</v>
      </c>
      <c r="M41" s="566">
        <v>64</v>
      </c>
      <c r="N41" s="77">
        <v>430</v>
      </c>
      <c r="O41" s="77">
        <v>300</v>
      </c>
      <c r="P41" s="77">
        <v>174</v>
      </c>
      <c r="Q41" s="77">
        <v>7.52</v>
      </c>
      <c r="R41" s="77">
        <v>8.23</v>
      </c>
      <c r="S41" s="77">
        <v>100</v>
      </c>
      <c r="T41" s="77">
        <v>0</v>
      </c>
      <c r="U41" s="77">
        <v>0</v>
      </c>
      <c r="V41" s="77">
        <v>1</v>
      </c>
      <c r="W41" s="77">
        <v>0</v>
      </c>
      <c r="X41" s="77">
        <v>0</v>
      </c>
      <c r="Y41" s="77">
        <v>0</v>
      </c>
      <c r="Z41" s="78" t="s">
        <v>41</v>
      </c>
      <c r="AA41" s="351">
        <f>ROUNDUP(bhpc_data!$AI41/bhpc_data[[#This Row],[units_per_carton]],0)</f>
        <v>0</v>
      </c>
      <c r="AB41" s="351">
        <f>bhpc_data!$AJ41/bhpc_data[[#This Row],[units_per_carton]]</f>
        <v>0</v>
      </c>
      <c r="AC41" s="351">
        <f>(bhpc_data[[#This Row],[net_weight]]/bhpc_data[[#This Row],[units_per_carton]])*bhpc_data!$AK41*bhpc_data[[#This Row],[product1_weight]]</f>
        <v>0</v>
      </c>
      <c r="AD41" s="351">
        <f>(bhpc_data[[#This Row],[net_weight]]/bhpc_data[[#This Row],[units_per_carton]])*bhpc_data!$AK41*bhpc_data[[#This Row],[product2_weight]]</f>
        <v>0</v>
      </c>
      <c r="AE41" s="351">
        <f>(bhpc_data[[#This Row],[gross_weight]]/bhpc_data[[#This Row],[units_per_carton]])*bhpc_data!$AK41*bhpc_data[[#This Row],[product1_weight]]</f>
        <v>0</v>
      </c>
      <c r="AF41" s="351">
        <f>(bhpc_data[[#This Row],[gross_weight]]/bhpc_data[[#This Row],[units_per_carton]])*bhpc_data!$AK41*bhpc_data[[#This Row],[product2_weight]]</f>
        <v>0</v>
      </c>
      <c r="AG41" s="351">
        <f>(bhpc_data[[#This Row],[lenght]]*bhpc_data[[#This Row],[width]]*bhpc_data[[#This Row],[height]])/1000000000*bhpc_data!$AK41/bhpc_data[[#This Row],[units_per_carton]]*bhpc_data[[#This Row],[product1_weight]]</f>
        <v>0</v>
      </c>
      <c r="AH41" s="351">
        <f>(bhpc_data[[#This Row],[lenght]]*bhpc_data[[#This Row],[width]]*bhpc_data[[#This Row],[height]])/1000000000*bhpc_data!$AK41/bhpc_data[[#This Row],[units_per_carton]]*bhpc_data[[#This Row],[product2_weight]]</f>
        <v>0</v>
      </c>
      <c r="AI41" s="352">
        <f>SUMIF(productsSku,bhpc_data[[#This Row],[sku]],productsQty)+SUMIF(productsSku,bhpc_data[[#This Row],[sku]],productsDiscQty)</f>
        <v>0</v>
      </c>
      <c r="AJ41" s="352">
        <f>SUMIF(productsSku,bhpc_data[[#This Row],[sku]],productsFocQty)</f>
        <v>0</v>
      </c>
      <c r="AK41" s="353">
        <f>bhpc_data!$AI41+bhpc_data!$AJ41</f>
        <v>0</v>
      </c>
      <c r="AL41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1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1" s="551">
        <f>IF(bhpc_data[[#This Row],[hs_code]]="","",IF(bhpc_data[[#This Row],[hs_code]]="33030090",bhpc_data[[#This Row],[tot_order]]/bhpc_data[[#This Row],[units_per_carton]]*bhpc_data[[#This Row],[net_weight]],0))</f>
        <v>0</v>
      </c>
      <c r="AO41" s="568">
        <f>IFERROR(bhpc_data[[#This Row],[tot_order]]/bhpc_data[[#This Row],[units_per_carton]]/bhpc_data[[#This Row],[box_per_europallet]],"")</f>
        <v>0</v>
      </c>
      <c r="AP41" s="568">
        <f>IFERROR(bhpc_data[[#This Row],[tot_order]]/bhpc_data[[#This Row],[units_per_carton]]/bhpc_data[[#This Row],[box_per_pallet]],"")</f>
        <v>0</v>
      </c>
      <c r="AQ41" s="581">
        <f>IFERROR(ROUNDUP(bhpc_data[[#This Row],[pallet_euro]],0),"")</f>
        <v>0</v>
      </c>
      <c r="AR41" s="581">
        <f>IFERROR(ROUNDUP(bhpc_data[[#This Row],[pallet]],0),"")</f>
        <v>0</v>
      </c>
      <c r="AV41" s="77" t="s">
        <v>94</v>
      </c>
    </row>
    <row r="42" spans="1:48">
      <c r="A42" s="77" t="s">
        <v>115</v>
      </c>
      <c r="B42" s="77" t="s">
        <v>74</v>
      </c>
      <c r="C42" s="77">
        <v>1</v>
      </c>
      <c r="D42" s="77" t="s">
        <v>38</v>
      </c>
      <c r="E42" s="79">
        <v>8718719850060</v>
      </c>
      <c r="F42" s="591" t="s">
        <v>75</v>
      </c>
      <c r="G42" s="77" t="s">
        <v>116</v>
      </c>
      <c r="H42" s="78" t="s">
        <v>77</v>
      </c>
      <c r="I42" s="559">
        <v>24</v>
      </c>
      <c r="J42" s="559">
        <v>64</v>
      </c>
      <c r="K42" s="559">
        <v>8</v>
      </c>
      <c r="L42" s="559">
        <v>8</v>
      </c>
      <c r="M42" s="566">
        <v>64</v>
      </c>
      <c r="N42" s="77">
        <v>430</v>
      </c>
      <c r="O42" s="77">
        <v>300</v>
      </c>
      <c r="P42" s="77">
        <v>174</v>
      </c>
      <c r="Q42" s="77">
        <v>7.52</v>
      </c>
      <c r="R42" s="77">
        <v>8.23</v>
      </c>
      <c r="S42" s="77">
        <v>100</v>
      </c>
      <c r="T42" s="77">
        <v>0</v>
      </c>
      <c r="U42" s="77">
        <v>0</v>
      </c>
      <c r="V42" s="77">
        <v>1</v>
      </c>
      <c r="W42" s="77">
        <v>0</v>
      </c>
      <c r="X42" s="77">
        <v>0</v>
      </c>
      <c r="Y42" s="77">
        <v>0</v>
      </c>
      <c r="Z42" s="78" t="s">
        <v>41</v>
      </c>
      <c r="AA42" s="348">
        <f>ROUNDUP(bhpc_data!$AI42/bhpc_data[[#This Row],[units_per_carton]],0)</f>
        <v>0</v>
      </c>
      <c r="AB42" s="348">
        <f>bhpc_data!$AJ42/bhpc_data[[#This Row],[units_per_carton]]</f>
        <v>0</v>
      </c>
      <c r="AC42" s="348">
        <f>(bhpc_data[[#This Row],[net_weight]]/bhpc_data[[#This Row],[units_per_carton]])*bhpc_data!$AK42*bhpc_data[[#This Row],[product1_weight]]</f>
        <v>0</v>
      </c>
      <c r="AD42" s="348">
        <f>(bhpc_data[[#This Row],[net_weight]]/bhpc_data[[#This Row],[units_per_carton]])*bhpc_data!$AK42*bhpc_data[[#This Row],[product2_weight]]</f>
        <v>0</v>
      </c>
      <c r="AE42" s="348">
        <f>(bhpc_data[[#This Row],[gross_weight]]/bhpc_data[[#This Row],[units_per_carton]])*bhpc_data!$AK42*bhpc_data[[#This Row],[product1_weight]]</f>
        <v>0</v>
      </c>
      <c r="AF42" s="348">
        <f>(bhpc_data[[#This Row],[gross_weight]]/bhpc_data[[#This Row],[units_per_carton]])*bhpc_data!$AK42*bhpc_data[[#This Row],[product2_weight]]</f>
        <v>0</v>
      </c>
      <c r="AG42" s="348">
        <f>(bhpc_data[[#This Row],[lenght]]*bhpc_data[[#This Row],[width]]*bhpc_data[[#This Row],[height]])/1000000000*bhpc_data!$AK42/bhpc_data[[#This Row],[units_per_carton]]*bhpc_data[[#This Row],[product1_weight]]</f>
        <v>0</v>
      </c>
      <c r="AH42" s="348">
        <f>(bhpc_data[[#This Row],[lenght]]*bhpc_data[[#This Row],[width]]*bhpc_data[[#This Row],[height]])/1000000000*bhpc_data!$AK42/bhpc_data[[#This Row],[units_per_carton]]*bhpc_data[[#This Row],[product2_weight]]</f>
        <v>0</v>
      </c>
      <c r="AI42" s="349">
        <f>SUMIF(productsSku,bhpc_data[[#This Row],[sku]],productsQty)+SUMIF(productsSku,bhpc_data[[#This Row],[sku]],productsDiscQty)</f>
        <v>0</v>
      </c>
      <c r="AJ42" s="349">
        <f>SUMIF(productsSku,bhpc_data[[#This Row],[sku]],productsFocQty)</f>
        <v>0</v>
      </c>
      <c r="AK42" s="350">
        <f>bhpc_data!$AI42+bhpc_data!$AJ42</f>
        <v>0</v>
      </c>
      <c r="AL42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2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2" s="551">
        <f>IF(bhpc_data[[#This Row],[hs_code]]="","",IF(bhpc_data[[#This Row],[hs_code]]="33030090",bhpc_data[[#This Row],[tot_order]]/bhpc_data[[#This Row],[units_per_carton]]*bhpc_data[[#This Row],[net_weight]],0))</f>
        <v>0</v>
      </c>
      <c r="AO42" s="568">
        <f>IFERROR(bhpc_data[[#This Row],[tot_order]]/bhpc_data[[#This Row],[units_per_carton]]/bhpc_data[[#This Row],[box_per_europallet]],"")</f>
        <v>0</v>
      </c>
      <c r="AP42" s="568">
        <f>IFERROR(bhpc_data[[#This Row],[tot_order]]/bhpc_data[[#This Row],[units_per_carton]]/bhpc_data[[#This Row],[box_per_pallet]],"")</f>
        <v>0</v>
      </c>
      <c r="AQ42" s="581">
        <f>IFERROR(ROUNDUP(bhpc_data[[#This Row],[pallet_euro]],0),"")</f>
        <v>0</v>
      </c>
      <c r="AR42" s="581">
        <f>IFERROR(ROUNDUP(bhpc_data[[#This Row],[pallet]],0),"")</f>
        <v>0</v>
      </c>
      <c r="AV42" s="77" t="s">
        <v>96</v>
      </c>
    </row>
    <row r="43" spans="1:48">
      <c r="A43" s="77" t="s">
        <v>117</v>
      </c>
      <c r="B43" s="77" t="s">
        <v>74</v>
      </c>
      <c r="C43" s="77">
        <v>1</v>
      </c>
      <c r="D43" s="77" t="s">
        <v>38</v>
      </c>
      <c r="E43" s="79">
        <v>8718719850077</v>
      </c>
      <c r="F43" s="591" t="s">
        <v>75</v>
      </c>
      <c r="G43" s="77" t="s">
        <v>118</v>
      </c>
      <c r="H43" s="78" t="s">
        <v>77</v>
      </c>
      <c r="I43" s="559">
        <v>24</v>
      </c>
      <c r="J43" s="559">
        <v>64</v>
      </c>
      <c r="K43" s="559">
        <v>8</v>
      </c>
      <c r="L43" s="559">
        <v>8</v>
      </c>
      <c r="M43" s="566">
        <v>64</v>
      </c>
      <c r="N43" s="77">
        <v>430</v>
      </c>
      <c r="O43" s="77">
        <v>300</v>
      </c>
      <c r="P43" s="77">
        <v>174</v>
      </c>
      <c r="Q43" s="77">
        <v>7.52</v>
      </c>
      <c r="R43" s="77">
        <v>8.23</v>
      </c>
      <c r="S43" s="77">
        <v>100</v>
      </c>
      <c r="T43" s="77">
        <v>0</v>
      </c>
      <c r="U43" s="77">
        <v>0</v>
      </c>
      <c r="V43" s="77">
        <v>1</v>
      </c>
      <c r="W43" s="77">
        <v>0</v>
      </c>
      <c r="X43" s="77">
        <v>0</v>
      </c>
      <c r="Y43" s="77">
        <v>0</v>
      </c>
      <c r="Z43" s="78" t="s">
        <v>41</v>
      </c>
      <c r="AA43" s="351">
        <f>ROUNDUP(bhpc_data!$AI43/bhpc_data[[#This Row],[units_per_carton]],0)</f>
        <v>0</v>
      </c>
      <c r="AB43" s="351">
        <f>bhpc_data!$AJ43/bhpc_data[[#This Row],[units_per_carton]]</f>
        <v>0</v>
      </c>
      <c r="AC43" s="351">
        <f>(bhpc_data[[#This Row],[net_weight]]/bhpc_data[[#This Row],[units_per_carton]])*bhpc_data!$AK43*bhpc_data[[#This Row],[product1_weight]]</f>
        <v>0</v>
      </c>
      <c r="AD43" s="351">
        <f>(bhpc_data[[#This Row],[net_weight]]/bhpc_data[[#This Row],[units_per_carton]])*bhpc_data!$AK43*bhpc_data[[#This Row],[product2_weight]]</f>
        <v>0</v>
      </c>
      <c r="AE43" s="351">
        <f>(bhpc_data[[#This Row],[gross_weight]]/bhpc_data[[#This Row],[units_per_carton]])*bhpc_data!$AK43*bhpc_data[[#This Row],[product1_weight]]</f>
        <v>0</v>
      </c>
      <c r="AF43" s="351">
        <f>(bhpc_data[[#This Row],[gross_weight]]/bhpc_data[[#This Row],[units_per_carton]])*bhpc_data!$AK43*bhpc_data[[#This Row],[product2_weight]]</f>
        <v>0</v>
      </c>
      <c r="AG43" s="351">
        <f>(bhpc_data[[#This Row],[lenght]]*bhpc_data[[#This Row],[width]]*bhpc_data[[#This Row],[height]])/1000000000*bhpc_data!$AK43/bhpc_data[[#This Row],[units_per_carton]]*bhpc_data[[#This Row],[product1_weight]]</f>
        <v>0</v>
      </c>
      <c r="AH43" s="351">
        <f>(bhpc_data[[#This Row],[lenght]]*bhpc_data[[#This Row],[width]]*bhpc_data[[#This Row],[height]])/1000000000*bhpc_data!$AK43/bhpc_data[[#This Row],[units_per_carton]]*bhpc_data[[#This Row],[product2_weight]]</f>
        <v>0</v>
      </c>
      <c r="AI43" s="352">
        <f>SUMIF(productsSku,bhpc_data[[#This Row],[sku]],productsQty)+SUMIF(productsSku,bhpc_data[[#This Row],[sku]],productsDiscQty)</f>
        <v>0</v>
      </c>
      <c r="AJ43" s="352">
        <f>SUMIF(productsSku,bhpc_data[[#This Row],[sku]],productsFocQty)</f>
        <v>0</v>
      </c>
      <c r="AK43" s="353">
        <f>bhpc_data!$AI43+bhpc_data!$AJ43</f>
        <v>0</v>
      </c>
      <c r="AL43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3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3" s="551">
        <f>IF(bhpc_data[[#This Row],[hs_code]]="","",IF(bhpc_data[[#This Row],[hs_code]]="33030090",bhpc_data[[#This Row],[tot_order]]/bhpc_data[[#This Row],[units_per_carton]]*bhpc_data[[#This Row],[net_weight]],0))</f>
        <v>0</v>
      </c>
      <c r="AO43" s="568">
        <f>IFERROR(bhpc_data[[#This Row],[tot_order]]/bhpc_data[[#This Row],[units_per_carton]]/bhpc_data[[#This Row],[box_per_europallet]],"")</f>
        <v>0</v>
      </c>
      <c r="AP43" s="568">
        <f>IFERROR(bhpc_data[[#This Row],[tot_order]]/bhpc_data[[#This Row],[units_per_carton]]/bhpc_data[[#This Row],[box_per_pallet]],"")</f>
        <v>0</v>
      </c>
      <c r="AQ43" s="581">
        <f>IFERROR(ROUNDUP(bhpc_data[[#This Row],[pallet_euro]],0),"")</f>
        <v>0</v>
      </c>
      <c r="AR43" s="581">
        <f>IFERROR(ROUNDUP(bhpc_data[[#This Row],[pallet]],0),"")</f>
        <v>0</v>
      </c>
      <c r="AV43" s="77" t="s">
        <v>98</v>
      </c>
    </row>
    <row r="44" spans="1:48">
      <c r="A44" s="77" t="s">
        <v>73</v>
      </c>
      <c r="B44" s="77" t="s">
        <v>74</v>
      </c>
      <c r="C44" s="77">
        <v>1</v>
      </c>
      <c r="D44" s="77" t="s">
        <v>38</v>
      </c>
      <c r="E44" s="79">
        <v>8718719850084</v>
      </c>
      <c r="F44" s="591" t="s">
        <v>75</v>
      </c>
      <c r="G44" s="77" t="s">
        <v>76</v>
      </c>
      <c r="H44" s="78" t="s">
        <v>77</v>
      </c>
      <c r="I44" s="559">
        <v>24</v>
      </c>
      <c r="J44" s="559">
        <v>72</v>
      </c>
      <c r="K44" s="559">
        <v>9</v>
      </c>
      <c r="L44" s="559">
        <v>8</v>
      </c>
      <c r="M44" s="566">
        <v>88</v>
      </c>
      <c r="N44" s="77">
        <v>385</v>
      </c>
      <c r="O44" s="77">
        <v>250</v>
      </c>
      <c r="P44" s="77">
        <v>150</v>
      </c>
      <c r="Q44" s="77">
        <v>4.8</v>
      </c>
      <c r="R44" s="77">
        <v>5.2</v>
      </c>
      <c r="S44" s="77">
        <v>50</v>
      </c>
      <c r="T44" s="77">
        <v>0</v>
      </c>
      <c r="U44" s="77">
        <v>0</v>
      </c>
      <c r="V44" s="77">
        <v>1</v>
      </c>
      <c r="W44" s="77">
        <v>0</v>
      </c>
      <c r="X44" s="77">
        <v>0</v>
      </c>
      <c r="Y44" s="77">
        <v>0</v>
      </c>
      <c r="Z44" s="78" t="s">
        <v>41</v>
      </c>
      <c r="AA44" s="348">
        <f>ROUNDUP(bhpc_data!$AI44/bhpc_data[[#This Row],[units_per_carton]],0)</f>
        <v>0</v>
      </c>
      <c r="AB44" s="348">
        <f>bhpc_data!$AJ44/bhpc_data[[#This Row],[units_per_carton]]</f>
        <v>0</v>
      </c>
      <c r="AC44" s="348">
        <f>(bhpc_data[[#This Row],[net_weight]]/bhpc_data[[#This Row],[units_per_carton]])*bhpc_data!$AK44*bhpc_data[[#This Row],[product1_weight]]</f>
        <v>0</v>
      </c>
      <c r="AD44" s="348">
        <f>(bhpc_data[[#This Row],[net_weight]]/bhpc_data[[#This Row],[units_per_carton]])*bhpc_data!$AK44*bhpc_data[[#This Row],[product2_weight]]</f>
        <v>0</v>
      </c>
      <c r="AE44" s="348">
        <f>(bhpc_data[[#This Row],[gross_weight]]/bhpc_data[[#This Row],[units_per_carton]])*bhpc_data!$AK44*bhpc_data[[#This Row],[product1_weight]]</f>
        <v>0</v>
      </c>
      <c r="AF44" s="348">
        <f>(bhpc_data[[#This Row],[gross_weight]]/bhpc_data[[#This Row],[units_per_carton]])*bhpc_data!$AK44*bhpc_data[[#This Row],[product2_weight]]</f>
        <v>0</v>
      </c>
      <c r="AG44" s="348">
        <f>(bhpc_data[[#This Row],[lenght]]*bhpc_data[[#This Row],[width]]*bhpc_data[[#This Row],[height]])/1000000000*bhpc_data!$AK44/bhpc_data[[#This Row],[units_per_carton]]*bhpc_data[[#This Row],[product1_weight]]</f>
        <v>0</v>
      </c>
      <c r="AH44" s="348">
        <f>(bhpc_data[[#This Row],[lenght]]*bhpc_data[[#This Row],[width]]*bhpc_data[[#This Row],[height]])/1000000000*bhpc_data!$AK44/bhpc_data[[#This Row],[units_per_carton]]*bhpc_data[[#This Row],[product2_weight]]</f>
        <v>0</v>
      </c>
      <c r="AI44" s="349">
        <f>SUMIF(productsSku,bhpc_data[[#This Row],[sku]],productsQty)+SUMIF(productsSku,bhpc_data[[#This Row],[sku]],productsDiscQty)</f>
        <v>0</v>
      </c>
      <c r="AJ44" s="349">
        <f>SUMIF(productsSku,bhpc_data[[#This Row],[sku]],productsFocQty)</f>
        <v>0</v>
      </c>
      <c r="AK44" s="350">
        <f>bhpc_data!$AI44+bhpc_data!$AJ44</f>
        <v>0</v>
      </c>
      <c r="AL44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4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4" s="551">
        <f>IF(bhpc_data[[#This Row],[hs_code]]="","",IF(bhpc_data[[#This Row],[hs_code]]="33030090",bhpc_data[[#This Row],[tot_order]]/bhpc_data[[#This Row],[units_per_carton]]*bhpc_data[[#This Row],[net_weight]],0))</f>
        <v>0</v>
      </c>
      <c r="AO44" s="568">
        <f>IFERROR(bhpc_data[[#This Row],[tot_order]]/bhpc_data[[#This Row],[units_per_carton]]/bhpc_data[[#This Row],[box_per_europallet]],"")</f>
        <v>0</v>
      </c>
      <c r="AP44" s="568">
        <f>IFERROR(bhpc_data[[#This Row],[tot_order]]/bhpc_data[[#This Row],[units_per_carton]]/bhpc_data[[#This Row],[box_per_pallet]],"")</f>
        <v>0</v>
      </c>
      <c r="AQ44" s="581">
        <f>IFERROR(ROUNDUP(bhpc_data[[#This Row],[pallet_euro]],0),"")</f>
        <v>0</v>
      </c>
      <c r="AR44" s="581">
        <f>IFERROR(ROUNDUP(bhpc_data[[#This Row],[pallet]],0),"")</f>
        <v>0</v>
      </c>
      <c r="AV44" s="77" t="s">
        <v>36</v>
      </c>
    </row>
    <row r="45" spans="1:48">
      <c r="A45" s="77" t="s">
        <v>78</v>
      </c>
      <c r="B45" s="77" t="s">
        <v>74</v>
      </c>
      <c r="C45" s="77">
        <v>1</v>
      </c>
      <c r="D45" s="77" t="s">
        <v>38</v>
      </c>
      <c r="E45" s="79">
        <v>8718719850091</v>
      </c>
      <c r="F45" s="591" t="s">
        <v>75</v>
      </c>
      <c r="G45" s="77" t="s">
        <v>79</v>
      </c>
      <c r="H45" s="78" t="s">
        <v>77</v>
      </c>
      <c r="I45" s="559">
        <v>24</v>
      </c>
      <c r="J45" s="559">
        <v>72</v>
      </c>
      <c r="K45" s="559">
        <v>9</v>
      </c>
      <c r="L45" s="559">
        <v>8</v>
      </c>
      <c r="M45" s="566">
        <v>88</v>
      </c>
      <c r="N45" s="77">
        <v>385</v>
      </c>
      <c r="O45" s="77">
        <v>250</v>
      </c>
      <c r="P45" s="77">
        <v>150</v>
      </c>
      <c r="Q45" s="77">
        <v>4.8</v>
      </c>
      <c r="R45" s="77">
        <v>5.2</v>
      </c>
      <c r="S45" s="77">
        <v>50</v>
      </c>
      <c r="T45" s="77">
        <v>0</v>
      </c>
      <c r="U45" s="77">
        <v>0</v>
      </c>
      <c r="V45" s="77">
        <v>1</v>
      </c>
      <c r="W45" s="77">
        <v>0</v>
      </c>
      <c r="X45" s="77">
        <v>0</v>
      </c>
      <c r="Y45" s="77">
        <v>0</v>
      </c>
      <c r="Z45" s="78" t="s">
        <v>41</v>
      </c>
      <c r="AA45" s="351">
        <f>ROUNDUP(bhpc_data!$AI45/bhpc_data[[#This Row],[units_per_carton]],0)</f>
        <v>0</v>
      </c>
      <c r="AB45" s="351">
        <f>bhpc_data!$AJ45/bhpc_data[[#This Row],[units_per_carton]]</f>
        <v>0</v>
      </c>
      <c r="AC45" s="351">
        <f>(bhpc_data[[#This Row],[net_weight]]/bhpc_data[[#This Row],[units_per_carton]])*bhpc_data!$AK45*bhpc_data[[#This Row],[product1_weight]]</f>
        <v>0</v>
      </c>
      <c r="AD45" s="351">
        <f>(bhpc_data[[#This Row],[net_weight]]/bhpc_data[[#This Row],[units_per_carton]])*bhpc_data!$AK45*bhpc_data[[#This Row],[product2_weight]]</f>
        <v>0</v>
      </c>
      <c r="AE45" s="351">
        <f>(bhpc_data[[#This Row],[gross_weight]]/bhpc_data[[#This Row],[units_per_carton]])*bhpc_data!$AK45*bhpc_data[[#This Row],[product1_weight]]</f>
        <v>0</v>
      </c>
      <c r="AF45" s="351">
        <f>(bhpc_data[[#This Row],[gross_weight]]/bhpc_data[[#This Row],[units_per_carton]])*bhpc_data!$AK45*bhpc_data[[#This Row],[product2_weight]]</f>
        <v>0</v>
      </c>
      <c r="AG45" s="351">
        <f>(bhpc_data[[#This Row],[lenght]]*bhpc_data[[#This Row],[width]]*bhpc_data[[#This Row],[height]])/1000000000*bhpc_data!$AK45/bhpc_data[[#This Row],[units_per_carton]]*bhpc_data[[#This Row],[product1_weight]]</f>
        <v>0</v>
      </c>
      <c r="AH45" s="351">
        <f>(bhpc_data[[#This Row],[lenght]]*bhpc_data[[#This Row],[width]]*bhpc_data[[#This Row],[height]])/1000000000*bhpc_data!$AK45/bhpc_data[[#This Row],[units_per_carton]]*bhpc_data[[#This Row],[product2_weight]]</f>
        <v>0</v>
      </c>
      <c r="AI45" s="352">
        <f>SUMIF(productsSku,bhpc_data[[#This Row],[sku]],productsQty)+SUMIF(productsSku,bhpc_data[[#This Row],[sku]],productsDiscQty)</f>
        <v>0</v>
      </c>
      <c r="AJ45" s="352">
        <f>SUMIF(productsSku,bhpc_data[[#This Row],[sku]],productsFocQty)</f>
        <v>0</v>
      </c>
      <c r="AK45" s="353">
        <f>bhpc_data!$AI45+bhpc_data!$AJ45</f>
        <v>0</v>
      </c>
      <c r="AL45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5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5" s="551">
        <f>IF(bhpc_data[[#This Row],[hs_code]]="","",IF(bhpc_data[[#This Row],[hs_code]]="33030090",bhpc_data[[#This Row],[tot_order]]/bhpc_data[[#This Row],[units_per_carton]]*bhpc_data[[#This Row],[net_weight]],0))</f>
        <v>0</v>
      </c>
      <c r="AO45" s="568">
        <f>IFERROR(bhpc_data[[#This Row],[tot_order]]/bhpc_data[[#This Row],[units_per_carton]]/bhpc_data[[#This Row],[box_per_europallet]],"")</f>
        <v>0</v>
      </c>
      <c r="AP45" s="568">
        <f>IFERROR(bhpc_data[[#This Row],[tot_order]]/bhpc_data[[#This Row],[units_per_carton]]/bhpc_data[[#This Row],[box_per_pallet]],"")</f>
        <v>0</v>
      </c>
      <c r="AQ45" s="581">
        <f>IFERROR(ROUNDUP(bhpc_data[[#This Row],[pallet_euro]],0),"")</f>
        <v>0</v>
      </c>
      <c r="AR45" s="581">
        <f>IFERROR(ROUNDUP(bhpc_data[[#This Row],[pallet]],0),"")</f>
        <v>0</v>
      </c>
      <c r="AV45" s="77" t="s">
        <v>42</v>
      </c>
    </row>
    <row r="46" spans="1:48">
      <c r="A46" s="77" t="s">
        <v>80</v>
      </c>
      <c r="B46" s="77" t="s">
        <v>74</v>
      </c>
      <c r="C46" s="77">
        <v>1</v>
      </c>
      <c r="D46" s="77" t="s">
        <v>38</v>
      </c>
      <c r="E46" s="79">
        <v>8718719850107</v>
      </c>
      <c r="F46" s="591" t="s">
        <v>75</v>
      </c>
      <c r="G46" s="77" t="s">
        <v>81</v>
      </c>
      <c r="H46" s="78" t="s">
        <v>77</v>
      </c>
      <c r="I46" s="559">
        <v>24</v>
      </c>
      <c r="J46" s="559">
        <v>72</v>
      </c>
      <c r="K46" s="559">
        <v>9</v>
      </c>
      <c r="L46" s="559">
        <v>8</v>
      </c>
      <c r="M46" s="566">
        <v>88</v>
      </c>
      <c r="N46" s="77">
        <v>385</v>
      </c>
      <c r="O46" s="77">
        <v>250</v>
      </c>
      <c r="P46" s="77">
        <v>150</v>
      </c>
      <c r="Q46" s="77">
        <v>4.8</v>
      </c>
      <c r="R46" s="77">
        <v>5.2</v>
      </c>
      <c r="S46" s="77">
        <v>50</v>
      </c>
      <c r="T46" s="77">
        <v>0</v>
      </c>
      <c r="U46" s="77">
        <v>0</v>
      </c>
      <c r="V46" s="77">
        <v>1</v>
      </c>
      <c r="W46" s="77">
        <v>0</v>
      </c>
      <c r="X46" s="77">
        <v>0</v>
      </c>
      <c r="Y46" s="77">
        <v>0</v>
      </c>
      <c r="Z46" s="78" t="s">
        <v>41</v>
      </c>
      <c r="AA46" s="348">
        <f>ROUNDUP(bhpc_data!$AI46/bhpc_data[[#This Row],[units_per_carton]],0)</f>
        <v>0</v>
      </c>
      <c r="AB46" s="348">
        <f>bhpc_data!$AJ46/bhpc_data[[#This Row],[units_per_carton]]</f>
        <v>0</v>
      </c>
      <c r="AC46" s="348">
        <f>(bhpc_data[[#This Row],[net_weight]]/bhpc_data[[#This Row],[units_per_carton]])*bhpc_data!$AK46*bhpc_data[[#This Row],[product1_weight]]</f>
        <v>0</v>
      </c>
      <c r="AD46" s="348">
        <f>(bhpc_data[[#This Row],[net_weight]]/bhpc_data[[#This Row],[units_per_carton]])*bhpc_data!$AK46*bhpc_data[[#This Row],[product2_weight]]</f>
        <v>0</v>
      </c>
      <c r="AE46" s="348">
        <f>(bhpc_data[[#This Row],[gross_weight]]/bhpc_data[[#This Row],[units_per_carton]])*bhpc_data!$AK46*bhpc_data[[#This Row],[product1_weight]]</f>
        <v>0</v>
      </c>
      <c r="AF46" s="348">
        <f>(bhpc_data[[#This Row],[gross_weight]]/bhpc_data[[#This Row],[units_per_carton]])*bhpc_data!$AK46*bhpc_data[[#This Row],[product2_weight]]</f>
        <v>0</v>
      </c>
      <c r="AG46" s="348">
        <f>(bhpc_data[[#This Row],[lenght]]*bhpc_data[[#This Row],[width]]*bhpc_data[[#This Row],[height]])/1000000000*bhpc_data!$AK46/bhpc_data[[#This Row],[units_per_carton]]*bhpc_data[[#This Row],[product1_weight]]</f>
        <v>0</v>
      </c>
      <c r="AH46" s="348">
        <f>(bhpc_data[[#This Row],[lenght]]*bhpc_data[[#This Row],[width]]*bhpc_data[[#This Row],[height]])/1000000000*bhpc_data!$AK46/bhpc_data[[#This Row],[units_per_carton]]*bhpc_data[[#This Row],[product2_weight]]</f>
        <v>0</v>
      </c>
      <c r="AI46" s="349">
        <f>SUMIF(productsSku,bhpc_data[[#This Row],[sku]],productsQty)+SUMIF(productsSku,bhpc_data[[#This Row],[sku]],productsDiscQty)</f>
        <v>0</v>
      </c>
      <c r="AJ46" s="349">
        <f>SUMIF(productsSku,bhpc_data[[#This Row],[sku]],productsFocQty)</f>
        <v>0</v>
      </c>
      <c r="AK46" s="350">
        <f>bhpc_data!$AI46+bhpc_data!$AJ46</f>
        <v>0</v>
      </c>
      <c r="AL46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6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6" s="551">
        <f>IF(bhpc_data[[#This Row],[hs_code]]="","",IF(bhpc_data[[#This Row],[hs_code]]="33030090",bhpc_data[[#This Row],[tot_order]]/bhpc_data[[#This Row],[units_per_carton]]*bhpc_data[[#This Row],[net_weight]],0))</f>
        <v>0</v>
      </c>
      <c r="AO46" s="568">
        <f>IFERROR(bhpc_data[[#This Row],[tot_order]]/bhpc_data[[#This Row],[units_per_carton]]/bhpc_data[[#This Row],[box_per_europallet]],"")</f>
        <v>0</v>
      </c>
      <c r="AP46" s="568">
        <f>IFERROR(bhpc_data[[#This Row],[tot_order]]/bhpc_data[[#This Row],[units_per_carton]]/bhpc_data[[#This Row],[box_per_pallet]],"")</f>
        <v>0</v>
      </c>
      <c r="AQ46" s="581">
        <f>IFERROR(ROUNDUP(bhpc_data[[#This Row],[pallet_euro]],0),"")</f>
        <v>0</v>
      </c>
      <c r="AR46" s="581">
        <f>IFERROR(ROUNDUP(bhpc_data[[#This Row],[pallet]],0),"")</f>
        <v>0</v>
      </c>
      <c r="AV46" s="77" t="s">
        <v>44</v>
      </c>
    </row>
    <row r="47" spans="1:48">
      <c r="A47" s="77" t="s">
        <v>82</v>
      </c>
      <c r="B47" s="77" t="s">
        <v>74</v>
      </c>
      <c r="C47" s="77">
        <v>1</v>
      </c>
      <c r="D47" s="77" t="s">
        <v>38</v>
      </c>
      <c r="E47" s="79">
        <v>8718719850114</v>
      </c>
      <c r="F47" s="591" t="s">
        <v>75</v>
      </c>
      <c r="G47" s="77" t="s">
        <v>83</v>
      </c>
      <c r="H47" s="78" t="s">
        <v>77</v>
      </c>
      <c r="I47" s="559">
        <v>24</v>
      </c>
      <c r="J47" s="559">
        <v>72</v>
      </c>
      <c r="K47" s="559">
        <v>9</v>
      </c>
      <c r="L47" s="559">
        <v>8</v>
      </c>
      <c r="M47" s="566">
        <v>88</v>
      </c>
      <c r="N47" s="77">
        <v>385</v>
      </c>
      <c r="O47" s="77">
        <v>250</v>
      </c>
      <c r="P47" s="77">
        <v>150</v>
      </c>
      <c r="Q47" s="77">
        <v>4.8</v>
      </c>
      <c r="R47" s="77">
        <v>5.2</v>
      </c>
      <c r="S47" s="77">
        <v>50</v>
      </c>
      <c r="T47" s="77">
        <v>0</v>
      </c>
      <c r="U47" s="77">
        <v>0</v>
      </c>
      <c r="V47" s="77">
        <v>1</v>
      </c>
      <c r="W47" s="77">
        <v>0</v>
      </c>
      <c r="X47" s="77">
        <v>0</v>
      </c>
      <c r="Y47" s="77">
        <v>0</v>
      </c>
      <c r="Z47" s="78" t="s">
        <v>41</v>
      </c>
      <c r="AA47" s="351">
        <f>ROUNDUP(bhpc_data!$AI47/bhpc_data[[#This Row],[units_per_carton]],0)</f>
        <v>0</v>
      </c>
      <c r="AB47" s="351">
        <f>bhpc_data!$AJ47/bhpc_data[[#This Row],[units_per_carton]]</f>
        <v>0</v>
      </c>
      <c r="AC47" s="351">
        <f>(bhpc_data[[#This Row],[net_weight]]/bhpc_data[[#This Row],[units_per_carton]])*bhpc_data!$AK47*bhpc_data[[#This Row],[product1_weight]]</f>
        <v>0</v>
      </c>
      <c r="AD47" s="351">
        <f>(bhpc_data[[#This Row],[net_weight]]/bhpc_data[[#This Row],[units_per_carton]])*bhpc_data!$AK47*bhpc_data[[#This Row],[product2_weight]]</f>
        <v>0</v>
      </c>
      <c r="AE47" s="351">
        <f>(bhpc_data[[#This Row],[gross_weight]]/bhpc_data[[#This Row],[units_per_carton]])*bhpc_data!$AK47*bhpc_data[[#This Row],[product1_weight]]</f>
        <v>0</v>
      </c>
      <c r="AF47" s="351">
        <f>(bhpc_data[[#This Row],[gross_weight]]/bhpc_data[[#This Row],[units_per_carton]])*bhpc_data!$AK47*bhpc_data[[#This Row],[product2_weight]]</f>
        <v>0</v>
      </c>
      <c r="AG47" s="351">
        <f>(bhpc_data[[#This Row],[lenght]]*bhpc_data[[#This Row],[width]]*bhpc_data[[#This Row],[height]])/1000000000*bhpc_data!$AK47/bhpc_data[[#This Row],[units_per_carton]]*bhpc_data[[#This Row],[product1_weight]]</f>
        <v>0</v>
      </c>
      <c r="AH47" s="351">
        <f>(bhpc_data[[#This Row],[lenght]]*bhpc_data[[#This Row],[width]]*bhpc_data[[#This Row],[height]])/1000000000*bhpc_data!$AK47/bhpc_data[[#This Row],[units_per_carton]]*bhpc_data[[#This Row],[product2_weight]]</f>
        <v>0</v>
      </c>
      <c r="AI47" s="352">
        <f>SUMIF(productsSku,bhpc_data[[#This Row],[sku]],productsQty)+SUMIF(productsSku,bhpc_data[[#This Row],[sku]],productsDiscQty)</f>
        <v>0</v>
      </c>
      <c r="AJ47" s="352">
        <f>SUMIF(productsSku,bhpc_data[[#This Row],[sku]],productsFocQty)</f>
        <v>0</v>
      </c>
      <c r="AK47" s="353">
        <f>bhpc_data!$AI47+bhpc_data!$AJ47</f>
        <v>0</v>
      </c>
      <c r="AL47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7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7" s="551">
        <f>IF(bhpc_data[[#This Row],[hs_code]]="","",IF(bhpc_data[[#This Row],[hs_code]]="33030090",bhpc_data[[#This Row],[tot_order]]/bhpc_data[[#This Row],[units_per_carton]]*bhpc_data[[#This Row],[net_weight]],0))</f>
        <v>0</v>
      </c>
      <c r="AO47" s="568">
        <f>IFERROR(bhpc_data[[#This Row],[tot_order]]/bhpc_data[[#This Row],[units_per_carton]]/bhpc_data[[#This Row],[box_per_europallet]],"")</f>
        <v>0</v>
      </c>
      <c r="AP47" s="568">
        <f>IFERROR(bhpc_data[[#This Row],[tot_order]]/bhpc_data[[#This Row],[units_per_carton]]/bhpc_data[[#This Row],[box_per_pallet]],"")</f>
        <v>0</v>
      </c>
      <c r="AQ47" s="581">
        <f>IFERROR(ROUNDUP(bhpc_data[[#This Row],[pallet_euro]],0),"")</f>
        <v>0</v>
      </c>
      <c r="AR47" s="581">
        <f>IFERROR(ROUNDUP(bhpc_data[[#This Row],[pallet]],0),"")</f>
        <v>0</v>
      </c>
      <c r="AV47" s="77" t="s">
        <v>46</v>
      </c>
    </row>
    <row r="48" spans="1:48">
      <c r="A48" s="77" t="s">
        <v>169</v>
      </c>
      <c r="B48" s="77" t="s">
        <v>170</v>
      </c>
      <c r="C48" s="77">
        <v>1</v>
      </c>
      <c r="D48" s="77" t="s">
        <v>49</v>
      </c>
      <c r="E48" s="79">
        <v>8718719850244</v>
      </c>
      <c r="F48" s="591" t="s">
        <v>171</v>
      </c>
      <c r="G48" s="77" t="s">
        <v>172</v>
      </c>
      <c r="H48" s="78" t="s">
        <v>173</v>
      </c>
      <c r="I48" s="559">
        <v>48</v>
      </c>
      <c r="J48" s="559">
        <v>48</v>
      </c>
      <c r="K48" s="559">
        <v>6</v>
      </c>
      <c r="L48" s="559">
        <v>8</v>
      </c>
      <c r="M48" s="566">
        <v>72</v>
      </c>
      <c r="N48" s="77">
        <v>400</v>
      </c>
      <c r="O48" s="77">
        <v>320</v>
      </c>
      <c r="P48" s="77">
        <v>205</v>
      </c>
      <c r="Q48" s="77">
        <v>6.2880000000000003</v>
      </c>
      <c r="R48" s="77">
        <v>7.0359999999999996</v>
      </c>
      <c r="S48" s="77">
        <v>150</v>
      </c>
      <c r="T48" s="77">
        <v>0</v>
      </c>
      <c r="U48" s="77">
        <v>0</v>
      </c>
      <c r="V48" s="77">
        <v>1</v>
      </c>
      <c r="W48" s="77">
        <v>0</v>
      </c>
      <c r="X48" s="77">
        <v>0</v>
      </c>
      <c r="Y48" s="77">
        <v>0</v>
      </c>
      <c r="Z48" s="78" t="s">
        <v>41</v>
      </c>
      <c r="AA48" s="348">
        <f>ROUNDUP(bhpc_data!$AI48/bhpc_data[[#This Row],[units_per_carton]],0)</f>
        <v>0</v>
      </c>
      <c r="AB48" s="348">
        <f>bhpc_data!$AJ48/bhpc_data[[#This Row],[units_per_carton]]</f>
        <v>0</v>
      </c>
      <c r="AC48" s="348">
        <f>(bhpc_data[[#This Row],[net_weight]]/bhpc_data[[#This Row],[units_per_carton]])*bhpc_data!$AK48*bhpc_data[[#This Row],[product1_weight]]</f>
        <v>0</v>
      </c>
      <c r="AD48" s="348">
        <f>(bhpc_data[[#This Row],[net_weight]]/bhpc_data[[#This Row],[units_per_carton]])*bhpc_data!$AK48*bhpc_data[[#This Row],[product2_weight]]</f>
        <v>0</v>
      </c>
      <c r="AE48" s="348">
        <f>(bhpc_data[[#This Row],[gross_weight]]/bhpc_data[[#This Row],[units_per_carton]])*bhpc_data!$AK48*bhpc_data[[#This Row],[product1_weight]]</f>
        <v>0</v>
      </c>
      <c r="AF48" s="348">
        <f>(bhpc_data[[#This Row],[gross_weight]]/bhpc_data[[#This Row],[units_per_carton]])*bhpc_data!$AK48*bhpc_data[[#This Row],[product2_weight]]</f>
        <v>0</v>
      </c>
      <c r="AG48" s="348">
        <f>(bhpc_data[[#This Row],[lenght]]*bhpc_data[[#This Row],[width]]*bhpc_data[[#This Row],[height]])/1000000000*bhpc_data!$AK48/bhpc_data[[#This Row],[units_per_carton]]*bhpc_data[[#This Row],[product1_weight]]</f>
        <v>0</v>
      </c>
      <c r="AH48" s="348">
        <f>(bhpc_data[[#This Row],[lenght]]*bhpc_data[[#This Row],[width]]*bhpc_data[[#This Row],[height]])/1000000000*bhpc_data!$AK48/bhpc_data[[#This Row],[units_per_carton]]*bhpc_data[[#This Row],[product2_weight]]</f>
        <v>0</v>
      </c>
      <c r="AI48" s="349">
        <f>SUMIF(productsSku,bhpc_data[[#This Row],[sku]],productsQty)+SUMIF(productsSku,bhpc_data[[#This Row],[sku]],productsDiscQty)</f>
        <v>0</v>
      </c>
      <c r="AJ48" s="349">
        <f>SUMIF(productsSku,bhpc_data[[#This Row],[sku]],productsFocQty)</f>
        <v>0</v>
      </c>
      <c r="AK48" s="350">
        <f>bhpc_data!$AI48+bhpc_data!$AJ48</f>
        <v>0</v>
      </c>
      <c r="AL48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8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8" s="551">
        <f>IF(bhpc_data[[#This Row],[hs_code]]="","",IF(bhpc_data[[#This Row],[hs_code]]="33030090",bhpc_data[[#This Row],[tot_order]]/bhpc_data[[#This Row],[units_per_carton]]*bhpc_data[[#This Row],[net_weight]],0))</f>
        <v>0</v>
      </c>
      <c r="AO48" s="568">
        <f>IFERROR(bhpc_data[[#This Row],[tot_order]]/bhpc_data[[#This Row],[units_per_carton]]/bhpc_data[[#This Row],[box_per_europallet]],"")</f>
        <v>0</v>
      </c>
      <c r="AP48" s="568">
        <f>IFERROR(bhpc_data[[#This Row],[tot_order]]/bhpc_data[[#This Row],[units_per_carton]]/bhpc_data[[#This Row],[box_per_pallet]],"")</f>
        <v>0</v>
      </c>
      <c r="AQ48" s="581">
        <f>IFERROR(ROUNDUP(bhpc_data[[#This Row],[pallet_euro]],0),"")</f>
        <v>0</v>
      </c>
      <c r="AR48" s="581">
        <f>IFERROR(ROUNDUP(bhpc_data[[#This Row],[pallet]],0),"")</f>
        <v>0</v>
      </c>
      <c r="AV48" s="77" t="s">
        <v>48</v>
      </c>
    </row>
    <row r="49" spans="1:48">
      <c r="A49" s="77" t="s">
        <v>174</v>
      </c>
      <c r="B49" s="77" t="s">
        <v>170</v>
      </c>
      <c r="C49" s="77">
        <v>1</v>
      </c>
      <c r="D49" s="77" t="s">
        <v>49</v>
      </c>
      <c r="E49" s="79">
        <v>8718719850251</v>
      </c>
      <c r="F49" s="591" t="s">
        <v>171</v>
      </c>
      <c r="G49" s="77" t="s">
        <v>175</v>
      </c>
      <c r="H49" s="78" t="s">
        <v>173</v>
      </c>
      <c r="I49" s="559">
        <v>48</v>
      </c>
      <c r="J49" s="559">
        <v>48</v>
      </c>
      <c r="K49" s="559">
        <v>6</v>
      </c>
      <c r="L49" s="559">
        <v>8</v>
      </c>
      <c r="M49" s="566">
        <v>72</v>
      </c>
      <c r="N49" s="77">
        <v>400</v>
      </c>
      <c r="O49" s="77">
        <v>320</v>
      </c>
      <c r="P49" s="77">
        <v>205</v>
      </c>
      <c r="Q49" s="77">
        <v>6.2880000000000003</v>
      </c>
      <c r="R49" s="77">
        <v>7.0359999999999996</v>
      </c>
      <c r="S49" s="77">
        <v>150</v>
      </c>
      <c r="T49" s="77">
        <v>0</v>
      </c>
      <c r="U49" s="77">
        <v>0</v>
      </c>
      <c r="V49" s="77">
        <v>1</v>
      </c>
      <c r="W49" s="77">
        <v>0</v>
      </c>
      <c r="X49" s="77">
        <v>0</v>
      </c>
      <c r="Y49" s="77">
        <v>0</v>
      </c>
      <c r="Z49" s="78" t="s">
        <v>41</v>
      </c>
      <c r="AA49" s="351">
        <f>ROUNDUP(bhpc_data!$AI49/bhpc_data[[#This Row],[units_per_carton]],0)</f>
        <v>0</v>
      </c>
      <c r="AB49" s="351">
        <f>bhpc_data!$AJ49/bhpc_data[[#This Row],[units_per_carton]]</f>
        <v>0</v>
      </c>
      <c r="AC49" s="351">
        <f>(bhpc_data[[#This Row],[net_weight]]/bhpc_data[[#This Row],[units_per_carton]])*bhpc_data!$AK49*bhpc_data[[#This Row],[product1_weight]]</f>
        <v>0</v>
      </c>
      <c r="AD49" s="351">
        <f>(bhpc_data[[#This Row],[net_weight]]/bhpc_data[[#This Row],[units_per_carton]])*bhpc_data!$AK49*bhpc_data[[#This Row],[product2_weight]]</f>
        <v>0</v>
      </c>
      <c r="AE49" s="351">
        <f>(bhpc_data[[#This Row],[gross_weight]]/bhpc_data[[#This Row],[units_per_carton]])*bhpc_data!$AK49*bhpc_data[[#This Row],[product1_weight]]</f>
        <v>0</v>
      </c>
      <c r="AF49" s="351">
        <f>(bhpc_data[[#This Row],[gross_weight]]/bhpc_data[[#This Row],[units_per_carton]])*bhpc_data!$AK49*bhpc_data[[#This Row],[product2_weight]]</f>
        <v>0</v>
      </c>
      <c r="AG49" s="351">
        <f>(bhpc_data[[#This Row],[lenght]]*bhpc_data[[#This Row],[width]]*bhpc_data[[#This Row],[height]])/1000000000*bhpc_data!$AK49/bhpc_data[[#This Row],[units_per_carton]]*bhpc_data[[#This Row],[product1_weight]]</f>
        <v>0</v>
      </c>
      <c r="AH49" s="351">
        <f>(bhpc_data[[#This Row],[lenght]]*bhpc_data[[#This Row],[width]]*bhpc_data[[#This Row],[height]])/1000000000*bhpc_data!$AK49/bhpc_data[[#This Row],[units_per_carton]]*bhpc_data[[#This Row],[product2_weight]]</f>
        <v>0</v>
      </c>
      <c r="AI49" s="352">
        <f>SUMIF(productsSku,bhpc_data[[#This Row],[sku]],productsQty)+SUMIF(productsSku,bhpc_data[[#This Row],[sku]],productsDiscQty)</f>
        <v>0</v>
      </c>
      <c r="AJ49" s="352">
        <f>SUMIF(productsSku,bhpc_data[[#This Row],[sku]],productsFocQty)</f>
        <v>0</v>
      </c>
      <c r="AK49" s="353">
        <f>bhpc_data!$AI49+bhpc_data!$AJ49</f>
        <v>0</v>
      </c>
      <c r="AL49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49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49" s="551">
        <f>IF(bhpc_data[[#This Row],[hs_code]]="","",IF(bhpc_data[[#This Row],[hs_code]]="33030090",bhpc_data[[#This Row],[tot_order]]/bhpc_data[[#This Row],[units_per_carton]]*bhpc_data[[#This Row],[net_weight]],0))</f>
        <v>0</v>
      </c>
      <c r="AO49" s="568">
        <f>IFERROR(bhpc_data[[#This Row],[tot_order]]/bhpc_data[[#This Row],[units_per_carton]]/bhpc_data[[#This Row],[box_per_europallet]],"")</f>
        <v>0</v>
      </c>
      <c r="AP49" s="568">
        <f>IFERROR(bhpc_data[[#This Row],[tot_order]]/bhpc_data[[#This Row],[units_per_carton]]/bhpc_data[[#This Row],[box_per_pallet]],"")</f>
        <v>0</v>
      </c>
      <c r="AQ49" s="581">
        <f>IFERROR(ROUNDUP(bhpc_data[[#This Row],[pallet_euro]],0),"")</f>
        <v>0</v>
      </c>
      <c r="AR49" s="581">
        <f>IFERROR(ROUNDUP(bhpc_data[[#This Row],[pallet]],0),"")</f>
        <v>0</v>
      </c>
      <c r="AV49" s="77" t="s">
        <v>51</v>
      </c>
    </row>
    <row r="50" spans="1:48">
      <c r="A50" s="77" t="s">
        <v>176</v>
      </c>
      <c r="B50" s="77" t="s">
        <v>170</v>
      </c>
      <c r="C50" s="77">
        <v>1</v>
      </c>
      <c r="D50" s="77" t="s">
        <v>49</v>
      </c>
      <c r="E50" s="79">
        <v>8718719850268</v>
      </c>
      <c r="F50" s="591" t="s">
        <v>171</v>
      </c>
      <c r="G50" s="77" t="s">
        <v>177</v>
      </c>
      <c r="H50" s="78" t="s">
        <v>173</v>
      </c>
      <c r="I50" s="559">
        <v>48</v>
      </c>
      <c r="J50" s="559">
        <v>48</v>
      </c>
      <c r="K50" s="559">
        <v>6</v>
      </c>
      <c r="L50" s="559">
        <v>8</v>
      </c>
      <c r="M50" s="566">
        <v>72</v>
      </c>
      <c r="N50" s="77">
        <v>400</v>
      </c>
      <c r="O50" s="77">
        <v>320</v>
      </c>
      <c r="P50" s="77">
        <v>205</v>
      </c>
      <c r="Q50" s="77">
        <v>6.2880000000000003</v>
      </c>
      <c r="R50" s="77">
        <v>7.0359999999999996</v>
      </c>
      <c r="S50" s="77">
        <v>150</v>
      </c>
      <c r="T50" s="77">
        <v>0</v>
      </c>
      <c r="U50" s="77">
        <v>0</v>
      </c>
      <c r="V50" s="77">
        <v>1</v>
      </c>
      <c r="W50" s="77">
        <v>0</v>
      </c>
      <c r="X50" s="77">
        <v>0</v>
      </c>
      <c r="Y50" s="77">
        <v>0</v>
      </c>
      <c r="Z50" s="78" t="s">
        <v>41</v>
      </c>
      <c r="AA50" s="348">
        <f>ROUNDUP(bhpc_data!$AI50/bhpc_data[[#This Row],[units_per_carton]],0)</f>
        <v>0</v>
      </c>
      <c r="AB50" s="348">
        <f>bhpc_data!$AJ50/bhpc_data[[#This Row],[units_per_carton]]</f>
        <v>0</v>
      </c>
      <c r="AC50" s="348">
        <f>(bhpc_data[[#This Row],[net_weight]]/bhpc_data[[#This Row],[units_per_carton]])*bhpc_data!$AK50*bhpc_data[[#This Row],[product1_weight]]</f>
        <v>0</v>
      </c>
      <c r="AD50" s="348">
        <f>(bhpc_data[[#This Row],[net_weight]]/bhpc_data[[#This Row],[units_per_carton]])*bhpc_data!$AK50*bhpc_data[[#This Row],[product2_weight]]</f>
        <v>0</v>
      </c>
      <c r="AE50" s="348">
        <f>(bhpc_data[[#This Row],[gross_weight]]/bhpc_data[[#This Row],[units_per_carton]])*bhpc_data!$AK50*bhpc_data[[#This Row],[product1_weight]]</f>
        <v>0</v>
      </c>
      <c r="AF50" s="348">
        <f>(bhpc_data[[#This Row],[gross_weight]]/bhpc_data[[#This Row],[units_per_carton]])*bhpc_data!$AK50*bhpc_data[[#This Row],[product2_weight]]</f>
        <v>0</v>
      </c>
      <c r="AG50" s="348">
        <f>(bhpc_data[[#This Row],[lenght]]*bhpc_data[[#This Row],[width]]*bhpc_data[[#This Row],[height]])/1000000000*bhpc_data!$AK50/bhpc_data[[#This Row],[units_per_carton]]*bhpc_data[[#This Row],[product1_weight]]</f>
        <v>0</v>
      </c>
      <c r="AH50" s="348">
        <f>(bhpc_data[[#This Row],[lenght]]*bhpc_data[[#This Row],[width]]*bhpc_data[[#This Row],[height]])/1000000000*bhpc_data!$AK50/bhpc_data[[#This Row],[units_per_carton]]*bhpc_data[[#This Row],[product2_weight]]</f>
        <v>0</v>
      </c>
      <c r="AI50" s="349">
        <f>SUMIF(productsSku,bhpc_data[[#This Row],[sku]],productsQty)+SUMIF(productsSku,bhpc_data[[#This Row],[sku]],productsDiscQty)</f>
        <v>0</v>
      </c>
      <c r="AJ50" s="349">
        <f>SUMIF(productsSku,bhpc_data[[#This Row],[sku]],productsFocQty)</f>
        <v>0</v>
      </c>
      <c r="AK50" s="350">
        <f>bhpc_data!$AI50+bhpc_data!$AJ50</f>
        <v>0</v>
      </c>
      <c r="AL50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0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0" s="551">
        <f>IF(bhpc_data[[#This Row],[hs_code]]="","",IF(bhpc_data[[#This Row],[hs_code]]="33030090",bhpc_data[[#This Row],[tot_order]]/bhpc_data[[#This Row],[units_per_carton]]*bhpc_data[[#This Row],[net_weight]],0))</f>
        <v>0</v>
      </c>
      <c r="AO50" s="568">
        <f>IFERROR(bhpc_data[[#This Row],[tot_order]]/bhpc_data[[#This Row],[units_per_carton]]/bhpc_data[[#This Row],[box_per_europallet]],"")</f>
        <v>0</v>
      </c>
      <c r="AP50" s="568">
        <f>IFERROR(bhpc_data[[#This Row],[tot_order]]/bhpc_data[[#This Row],[units_per_carton]]/bhpc_data[[#This Row],[box_per_pallet]],"")</f>
        <v>0</v>
      </c>
      <c r="AQ50" s="581">
        <f>IFERROR(ROUNDUP(bhpc_data[[#This Row],[pallet_euro]],0),"")</f>
        <v>0</v>
      </c>
      <c r="AR50" s="581">
        <f>IFERROR(ROUNDUP(bhpc_data[[#This Row],[pallet]],0),"")</f>
        <v>0</v>
      </c>
      <c r="AV50" s="77" t="s">
        <v>53</v>
      </c>
    </row>
    <row r="51" spans="1:48">
      <c r="A51" s="77" t="s">
        <v>178</v>
      </c>
      <c r="B51" s="77" t="s">
        <v>170</v>
      </c>
      <c r="C51" s="77">
        <v>1</v>
      </c>
      <c r="D51" s="77" t="s">
        <v>49</v>
      </c>
      <c r="E51" s="79">
        <v>8718719850275</v>
      </c>
      <c r="F51" s="591" t="s">
        <v>171</v>
      </c>
      <c r="G51" s="77" t="s">
        <v>179</v>
      </c>
      <c r="H51" s="78" t="s">
        <v>173</v>
      </c>
      <c r="I51" s="559">
        <v>48</v>
      </c>
      <c r="J51" s="559">
        <v>48</v>
      </c>
      <c r="K51" s="559">
        <v>6</v>
      </c>
      <c r="L51" s="559">
        <v>8</v>
      </c>
      <c r="M51" s="566">
        <v>72</v>
      </c>
      <c r="N51" s="77">
        <v>400</v>
      </c>
      <c r="O51" s="77">
        <v>320</v>
      </c>
      <c r="P51" s="77">
        <v>205</v>
      </c>
      <c r="Q51" s="77">
        <v>6.2880000000000003</v>
      </c>
      <c r="R51" s="77">
        <v>7.0359999999999996</v>
      </c>
      <c r="S51" s="77">
        <v>150</v>
      </c>
      <c r="T51" s="77">
        <v>0</v>
      </c>
      <c r="U51" s="77">
        <v>0</v>
      </c>
      <c r="V51" s="77">
        <v>1</v>
      </c>
      <c r="W51" s="77">
        <v>0</v>
      </c>
      <c r="X51" s="77">
        <v>0</v>
      </c>
      <c r="Y51" s="77">
        <v>0</v>
      </c>
      <c r="Z51" s="78" t="s">
        <v>41</v>
      </c>
      <c r="AA51" s="351">
        <f>ROUNDUP(bhpc_data!$AI51/bhpc_data[[#This Row],[units_per_carton]],0)</f>
        <v>0</v>
      </c>
      <c r="AB51" s="351">
        <f>bhpc_data!$AJ51/bhpc_data[[#This Row],[units_per_carton]]</f>
        <v>0</v>
      </c>
      <c r="AC51" s="351">
        <f>(bhpc_data[[#This Row],[net_weight]]/bhpc_data[[#This Row],[units_per_carton]])*bhpc_data!$AK51*bhpc_data[[#This Row],[product1_weight]]</f>
        <v>0</v>
      </c>
      <c r="AD51" s="351">
        <f>(bhpc_data[[#This Row],[net_weight]]/bhpc_data[[#This Row],[units_per_carton]])*bhpc_data!$AK51*bhpc_data[[#This Row],[product2_weight]]</f>
        <v>0</v>
      </c>
      <c r="AE51" s="351">
        <f>(bhpc_data[[#This Row],[gross_weight]]/bhpc_data[[#This Row],[units_per_carton]])*bhpc_data!$AK51*bhpc_data[[#This Row],[product1_weight]]</f>
        <v>0</v>
      </c>
      <c r="AF51" s="351">
        <f>(bhpc_data[[#This Row],[gross_weight]]/bhpc_data[[#This Row],[units_per_carton]])*bhpc_data!$AK51*bhpc_data[[#This Row],[product2_weight]]</f>
        <v>0</v>
      </c>
      <c r="AG51" s="351">
        <f>(bhpc_data[[#This Row],[lenght]]*bhpc_data[[#This Row],[width]]*bhpc_data[[#This Row],[height]])/1000000000*bhpc_data!$AK51/bhpc_data[[#This Row],[units_per_carton]]*bhpc_data[[#This Row],[product1_weight]]</f>
        <v>0</v>
      </c>
      <c r="AH51" s="351">
        <f>(bhpc_data[[#This Row],[lenght]]*bhpc_data[[#This Row],[width]]*bhpc_data[[#This Row],[height]])/1000000000*bhpc_data!$AK51/bhpc_data[[#This Row],[units_per_carton]]*bhpc_data[[#This Row],[product2_weight]]</f>
        <v>0</v>
      </c>
      <c r="AI51" s="352">
        <f>SUMIF(productsSku,bhpc_data[[#This Row],[sku]],productsQty)+SUMIF(productsSku,bhpc_data[[#This Row],[sku]],productsDiscQty)</f>
        <v>0</v>
      </c>
      <c r="AJ51" s="352">
        <f>SUMIF(productsSku,bhpc_data[[#This Row],[sku]],productsFocQty)</f>
        <v>0</v>
      </c>
      <c r="AK51" s="353">
        <f>bhpc_data!$AI51+bhpc_data!$AJ51</f>
        <v>0</v>
      </c>
      <c r="AL51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1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1" s="551">
        <f>IF(bhpc_data[[#This Row],[hs_code]]="","",IF(bhpc_data[[#This Row],[hs_code]]="33030090",bhpc_data[[#This Row],[tot_order]]/bhpc_data[[#This Row],[units_per_carton]]*bhpc_data[[#This Row],[net_weight]],0))</f>
        <v>0</v>
      </c>
      <c r="AO51" s="568">
        <f>IFERROR(bhpc_data[[#This Row],[tot_order]]/bhpc_data[[#This Row],[units_per_carton]]/bhpc_data[[#This Row],[box_per_europallet]],"")</f>
        <v>0</v>
      </c>
      <c r="AP51" s="568">
        <f>IFERROR(bhpc_data[[#This Row],[tot_order]]/bhpc_data[[#This Row],[units_per_carton]]/bhpc_data[[#This Row],[box_per_pallet]],"")</f>
        <v>0</v>
      </c>
      <c r="AQ51" s="581">
        <f>IFERROR(ROUNDUP(bhpc_data[[#This Row],[pallet_euro]],0),"")</f>
        <v>0</v>
      </c>
      <c r="AR51" s="581">
        <f>IFERROR(ROUNDUP(bhpc_data[[#This Row],[pallet]],0),"")</f>
        <v>0</v>
      </c>
      <c r="AV51" s="77" t="s">
        <v>55</v>
      </c>
    </row>
    <row r="52" spans="1:48">
      <c r="A52" s="77" t="s">
        <v>84</v>
      </c>
      <c r="B52" s="77" t="s">
        <v>74</v>
      </c>
      <c r="C52" s="77">
        <v>1</v>
      </c>
      <c r="D52" s="77" t="s">
        <v>49</v>
      </c>
      <c r="E52" s="79">
        <v>8718719850282</v>
      </c>
      <c r="F52" s="591" t="s">
        <v>75</v>
      </c>
      <c r="G52" s="77" t="s">
        <v>85</v>
      </c>
      <c r="H52" s="78" t="s">
        <v>77</v>
      </c>
      <c r="I52" s="559">
        <v>24</v>
      </c>
      <c r="J52" s="559">
        <v>72</v>
      </c>
      <c r="K52" s="559">
        <v>9</v>
      </c>
      <c r="L52" s="559">
        <v>8</v>
      </c>
      <c r="M52" s="566">
        <v>88</v>
      </c>
      <c r="N52" s="77">
        <v>377</v>
      </c>
      <c r="O52" s="77">
        <v>300</v>
      </c>
      <c r="P52" s="77">
        <v>163</v>
      </c>
      <c r="Q52" s="77">
        <v>4.68</v>
      </c>
      <c r="R52" s="77">
        <v>5.08</v>
      </c>
      <c r="S52" s="77">
        <v>50</v>
      </c>
      <c r="T52" s="77">
        <v>0</v>
      </c>
      <c r="U52" s="77">
        <v>0</v>
      </c>
      <c r="V52" s="77">
        <v>1</v>
      </c>
      <c r="W52" s="77">
        <v>0</v>
      </c>
      <c r="X52" s="77">
        <v>0</v>
      </c>
      <c r="Y52" s="77">
        <v>0</v>
      </c>
      <c r="Z52" s="78" t="s">
        <v>41</v>
      </c>
      <c r="AA52" s="348">
        <f>ROUNDUP(bhpc_data!$AI52/bhpc_data[[#This Row],[units_per_carton]],0)</f>
        <v>0</v>
      </c>
      <c r="AB52" s="348">
        <f>bhpc_data!$AJ52/bhpc_data[[#This Row],[units_per_carton]]</f>
        <v>0</v>
      </c>
      <c r="AC52" s="348">
        <f>(bhpc_data[[#This Row],[net_weight]]/bhpc_data[[#This Row],[units_per_carton]])*bhpc_data!$AK52*bhpc_data[[#This Row],[product1_weight]]</f>
        <v>0</v>
      </c>
      <c r="AD52" s="348">
        <f>(bhpc_data[[#This Row],[net_weight]]/bhpc_data[[#This Row],[units_per_carton]])*bhpc_data!$AK52*bhpc_data[[#This Row],[product2_weight]]</f>
        <v>0</v>
      </c>
      <c r="AE52" s="348">
        <f>(bhpc_data[[#This Row],[gross_weight]]/bhpc_data[[#This Row],[units_per_carton]])*bhpc_data!$AK52*bhpc_data[[#This Row],[product1_weight]]</f>
        <v>0</v>
      </c>
      <c r="AF52" s="348">
        <f>(bhpc_data[[#This Row],[gross_weight]]/bhpc_data[[#This Row],[units_per_carton]])*bhpc_data!$AK52*bhpc_data[[#This Row],[product2_weight]]</f>
        <v>0</v>
      </c>
      <c r="AG52" s="348">
        <f>(bhpc_data[[#This Row],[lenght]]*bhpc_data[[#This Row],[width]]*bhpc_data[[#This Row],[height]])/1000000000*bhpc_data!$AK52/bhpc_data[[#This Row],[units_per_carton]]*bhpc_data[[#This Row],[product1_weight]]</f>
        <v>0</v>
      </c>
      <c r="AH52" s="348">
        <f>(bhpc_data[[#This Row],[lenght]]*bhpc_data[[#This Row],[width]]*bhpc_data[[#This Row],[height]])/1000000000*bhpc_data!$AK52/bhpc_data[[#This Row],[units_per_carton]]*bhpc_data[[#This Row],[product2_weight]]</f>
        <v>0</v>
      </c>
      <c r="AI52" s="349">
        <f>SUMIF(productsSku,bhpc_data[[#This Row],[sku]],productsQty)+SUMIF(productsSku,bhpc_data[[#This Row],[sku]],productsDiscQty)</f>
        <v>0</v>
      </c>
      <c r="AJ52" s="349">
        <f>SUMIF(productsSku,bhpc_data[[#This Row],[sku]],productsFocQty)</f>
        <v>0</v>
      </c>
      <c r="AK52" s="350">
        <f>bhpc_data!$AI52+bhpc_data!$AJ52</f>
        <v>0</v>
      </c>
      <c r="AL52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2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2" s="551">
        <f>IF(bhpc_data[[#This Row],[hs_code]]="","",IF(bhpc_data[[#This Row],[hs_code]]="33030090",bhpc_data[[#This Row],[tot_order]]/bhpc_data[[#This Row],[units_per_carton]]*bhpc_data[[#This Row],[net_weight]],0))</f>
        <v>0</v>
      </c>
      <c r="AO52" s="568">
        <f>IFERROR(bhpc_data[[#This Row],[tot_order]]/bhpc_data[[#This Row],[units_per_carton]]/bhpc_data[[#This Row],[box_per_europallet]],"")</f>
        <v>0</v>
      </c>
      <c r="AP52" s="568">
        <f>IFERROR(bhpc_data[[#This Row],[tot_order]]/bhpc_data[[#This Row],[units_per_carton]]/bhpc_data[[#This Row],[box_per_pallet]],"")</f>
        <v>0</v>
      </c>
      <c r="AQ52" s="581">
        <f>IFERROR(ROUNDUP(bhpc_data[[#This Row],[pallet_euro]],0),"")</f>
        <v>0</v>
      </c>
      <c r="AR52" s="581">
        <f>IFERROR(ROUNDUP(bhpc_data[[#This Row],[pallet]],0),"")</f>
        <v>0</v>
      </c>
      <c r="AV52" s="77" t="s">
        <v>100</v>
      </c>
    </row>
    <row r="53" spans="1:48">
      <c r="A53" s="77" t="s">
        <v>86</v>
      </c>
      <c r="B53" s="77" t="s">
        <v>74</v>
      </c>
      <c r="C53" s="77">
        <v>1</v>
      </c>
      <c r="D53" s="77" t="s">
        <v>49</v>
      </c>
      <c r="E53" s="79">
        <v>8718719850299</v>
      </c>
      <c r="F53" s="591" t="s">
        <v>75</v>
      </c>
      <c r="G53" s="77" t="s">
        <v>87</v>
      </c>
      <c r="H53" s="78" t="s">
        <v>77</v>
      </c>
      <c r="I53" s="559">
        <v>24</v>
      </c>
      <c r="J53" s="559">
        <v>72</v>
      </c>
      <c r="K53" s="559">
        <v>9</v>
      </c>
      <c r="L53" s="559">
        <v>8</v>
      </c>
      <c r="M53" s="566">
        <v>88</v>
      </c>
      <c r="N53" s="77">
        <v>377</v>
      </c>
      <c r="O53" s="77">
        <v>300</v>
      </c>
      <c r="P53" s="77">
        <v>163</v>
      </c>
      <c r="Q53" s="77">
        <v>4.68</v>
      </c>
      <c r="R53" s="77">
        <v>5.08</v>
      </c>
      <c r="S53" s="77">
        <v>50</v>
      </c>
      <c r="T53" s="77">
        <v>0</v>
      </c>
      <c r="U53" s="77">
        <v>0</v>
      </c>
      <c r="V53" s="77">
        <v>1</v>
      </c>
      <c r="W53" s="77">
        <v>0</v>
      </c>
      <c r="X53" s="77">
        <v>0</v>
      </c>
      <c r="Y53" s="77">
        <v>0</v>
      </c>
      <c r="Z53" s="78" t="s">
        <v>41</v>
      </c>
      <c r="AA53" s="351">
        <f>ROUNDUP(bhpc_data!$AI53/bhpc_data[[#This Row],[units_per_carton]],0)</f>
        <v>0</v>
      </c>
      <c r="AB53" s="351">
        <f>bhpc_data!$AJ53/bhpc_data[[#This Row],[units_per_carton]]</f>
        <v>0</v>
      </c>
      <c r="AC53" s="351">
        <f>(bhpc_data[[#This Row],[net_weight]]/bhpc_data[[#This Row],[units_per_carton]])*bhpc_data!$AK53*bhpc_data[[#This Row],[product1_weight]]</f>
        <v>0</v>
      </c>
      <c r="AD53" s="351">
        <f>(bhpc_data[[#This Row],[net_weight]]/bhpc_data[[#This Row],[units_per_carton]])*bhpc_data!$AK53*bhpc_data[[#This Row],[product2_weight]]</f>
        <v>0</v>
      </c>
      <c r="AE53" s="351">
        <f>(bhpc_data[[#This Row],[gross_weight]]/bhpc_data[[#This Row],[units_per_carton]])*bhpc_data!$AK53*bhpc_data[[#This Row],[product1_weight]]</f>
        <v>0</v>
      </c>
      <c r="AF53" s="351">
        <f>(bhpc_data[[#This Row],[gross_weight]]/bhpc_data[[#This Row],[units_per_carton]])*bhpc_data!$AK53*bhpc_data[[#This Row],[product2_weight]]</f>
        <v>0</v>
      </c>
      <c r="AG53" s="351">
        <f>(bhpc_data[[#This Row],[lenght]]*bhpc_data[[#This Row],[width]]*bhpc_data[[#This Row],[height]])/1000000000*bhpc_data!$AK53/bhpc_data[[#This Row],[units_per_carton]]*bhpc_data[[#This Row],[product1_weight]]</f>
        <v>0</v>
      </c>
      <c r="AH53" s="351">
        <f>(bhpc_data[[#This Row],[lenght]]*bhpc_data[[#This Row],[width]]*bhpc_data[[#This Row],[height]])/1000000000*bhpc_data!$AK53/bhpc_data[[#This Row],[units_per_carton]]*bhpc_data[[#This Row],[product2_weight]]</f>
        <v>0</v>
      </c>
      <c r="AI53" s="352">
        <f>SUMIF(productsSku,bhpc_data[[#This Row],[sku]],productsQty)+SUMIF(productsSku,bhpc_data[[#This Row],[sku]],productsDiscQty)</f>
        <v>0</v>
      </c>
      <c r="AJ53" s="352">
        <f>SUMIF(productsSku,bhpc_data[[#This Row],[sku]],productsFocQty)</f>
        <v>0</v>
      </c>
      <c r="AK53" s="353">
        <f>bhpc_data!$AI53+bhpc_data!$AJ53</f>
        <v>0</v>
      </c>
      <c r="AL53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3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3" s="551">
        <f>IF(bhpc_data[[#This Row],[hs_code]]="","",IF(bhpc_data[[#This Row],[hs_code]]="33030090",bhpc_data[[#This Row],[tot_order]]/bhpc_data[[#This Row],[units_per_carton]]*bhpc_data[[#This Row],[net_weight]],0))</f>
        <v>0</v>
      </c>
      <c r="AO53" s="568">
        <f>IFERROR(bhpc_data[[#This Row],[tot_order]]/bhpc_data[[#This Row],[units_per_carton]]/bhpc_data[[#This Row],[box_per_europallet]],"")</f>
        <v>0</v>
      </c>
      <c r="AP53" s="568">
        <f>IFERROR(bhpc_data[[#This Row],[tot_order]]/bhpc_data[[#This Row],[units_per_carton]]/bhpc_data[[#This Row],[box_per_pallet]],"")</f>
        <v>0</v>
      </c>
      <c r="AQ53" s="581">
        <f>IFERROR(ROUNDUP(bhpc_data[[#This Row],[pallet_euro]],0),"")</f>
        <v>0</v>
      </c>
      <c r="AR53" s="581">
        <f>IFERROR(ROUNDUP(bhpc_data[[#This Row],[pallet]],0),"")</f>
        <v>0</v>
      </c>
      <c r="AV53" s="77" t="s">
        <v>102</v>
      </c>
    </row>
    <row r="54" spans="1:48">
      <c r="A54" s="77" t="s">
        <v>88</v>
      </c>
      <c r="B54" s="77" t="s">
        <v>74</v>
      </c>
      <c r="C54" s="77">
        <v>1</v>
      </c>
      <c r="D54" s="77" t="s">
        <v>49</v>
      </c>
      <c r="E54" s="79">
        <v>8718719850305</v>
      </c>
      <c r="F54" s="591" t="s">
        <v>75</v>
      </c>
      <c r="G54" s="77" t="s">
        <v>89</v>
      </c>
      <c r="H54" s="78" t="s">
        <v>77</v>
      </c>
      <c r="I54" s="559">
        <v>24</v>
      </c>
      <c r="J54" s="559">
        <v>72</v>
      </c>
      <c r="K54" s="559">
        <v>9</v>
      </c>
      <c r="L54" s="559">
        <v>8</v>
      </c>
      <c r="M54" s="566">
        <v>88</v>
      </c>
      <c r="N54" s="77">
        <v>377</v>
      </c>
      <c r="O54" s="77">
        <v>300</v>
      </c>
      <c r="P54" s="77">
        <v>163</v>
      </c>
      <c r="Q54" s="77">
        <v>4.68</v>
      </c>
      <c r="R54" s="77">
        <v>5.08</v>
      </c>
      <c r="S54" s="77">
        <v>50</v>
      </c>
      <c r="T54" s="77">
        <v>0</v>
      </c>
      <c r="U54" s="77">
        <v>0</v>
      </c>
      <c r="V54" s="77">
        <v>1</v>
      </c>
      <c r="W54" s="77">
        <v>0</v>
      </c>
      <c r="X54" s="77">
        <v>0</v>
      </c>
      <c r="Y54" s="77">
        <v>0</v>
      </c>
      <c r="Z54" s="78" t="s">
        <v>41</v>
      </c>
      <c r="AA54" s="348">
        <f>ROUNDUP(bhpc_data!$AI54/bhpc_data[[#This Row],[units_per_carton]],0)</f>
        <v>0</v>
      </c>
      <c r="AB54" s="348">
        <f>bhpc_data!$AJ54/bhpc_data[[#This Row],[units_per_carton]]</f>
        <v>0</v>
      </c>
      <c r="AC54" s="348">
        <f>(bhpc_data[[#This Row],[net_weight]]/bhpc_data[[#This Row],[units_per_carton]])*bhpc_data!$AK54*bhpc_data[[#This Row],[product1_weight]]</f>
        <v>0</v>
      </c>
      <c r="AD54" s="348">
        <f>(bhpc_data[[#This Row],[net_weight]]/bhpc_data[[#This Row],[units_per_carton]])*bhpc_data!$AK54*bhpc_data[[#This Row],[product2_weight]]</f>
        <v>0</v>
      </c>
      <c r="AE54" s="348">
        <f>(bhpc_data[[#This Row],[gross_weight]]/bhpc_data[[#This Row],[units_per_carton]])*bhpc_data!$AK54*bhpc_data[[#This Row],[product1_weight]]</f>
        <v>0</v>
      </c>
      <c r="AF54" s="348">
        <f>(bhpc_data[[#This Row],[gross_weight]]/bhpc_data[[#This Row],[units_per_carton]])*bhpc_data!$AK54*bhpc_data[[#This Row],[product2_weight]]</f>
        <v>0</v>
      </c>
      <c r="AG54" s="348">
        <f>(bhpc_data[[#This Row],[lenght]]*bhpc_data[[#This Row],[width]]*bhpc_data[[#This Row],[height]])/1000000000*bhpc_data!$AK54/bhpc_data[[#This Row],[units_per_carton]]*bhpc_data[[#This Row],[product1_weight]]</f>
        <v>0</v>
      </c>
      <c r="AH54" s="348">
        <f>(bhpc_data[[#This Row],[lenght]]*bhpc_data[[#This Row],[width]]*bhpc_data[[#This Row],[height]])/1000000000*bhpc_data!$AK54/bhpc_data[[#This Row],[units_per_carton]]*bhpc_data[[#This Row],[product2_weight]]</f>
        <v>0</v>
      </c>
      <c r="AI54" s="349">
        <f>SUMIF(productsSku,bhpc_data[[#This Row],[sku]],productsQty)+SUMIF(productsSku,bhpc_data[[#This Row],[sku]],productsDiscQty)</f>
        <v>0</v>
      </c>
      <c r="AJ54" s="349">
        <f>SUMIF(productsSku,bhpc_data[[#This Row],[sku]],productsFocQty)</f>
        <v>0</v>
      </c>
      <c r="AK54" s="350">
        <f>bhpc_data!$AI54+bhpc_data!$AJ54</f>
        <v>0</v>
      </c>
      <c r="AL54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4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4" s="551">
        <f>IF(bhpc_data[[#This Row],[hs_code]]="","",IF(bhpc_data[[#This Row],[hs_code]]="33030090",bhpc_data[[#This Row],[tot_order]]/bhpc_data[[#This Row],[units_per_carton]]*bhpc_data[[#This Row],[net_weight]],0))</f>
        <v>0</v>
      </c>
      <c r="AO54" s="568">
        <f>IFERROR(bhpc_data[[#This Row],[tot_order]]/bhpc_data[[#This Row],[units_per_carton]]/bhpc_data[[#This Row],[box_per_europallet]],"")</f>
        <v>0</v>
      </c>
      <c r="AP54" s="568">
        <f>IFERROR(bhpc_data[[#This Row],[tot_order]]/bhpc_data[[#This Row],[units_per_carton]]/bhpc_data[[#This Row],[box_per_pallet]],"")</f>
        <v>0</v>
      </c>
      <c r="AQ54" s="581">
        <f>IFERROR(ROUNDUP(bhpc_data[[#This Row],[pallet_euro]],0),"")</f>
        <v>0</v>
      </c>
      <c r="AR54" s="581">
        <f>IFERROR(ROUNDUP(bhpc_data[[#This Row],[pallet]],0),"")</f>
        <v>0</v>
      </c>
      <c r="AV54" s="77" t="s">
        <v>104</v>
      </c>
    </row>
    <row r="55" spans="1:48">
      <c r="A55" s="77" t="s">
        <v>90</v>
      </c>
      <c r="B55" s="77" t="s">
        <v>74</v>
      </c>
      <c r="C55" s="77">
        <v>1</v>
      </c>
      <c r="D55" s="77" t="s">
        <v>49</v>
      </c>
      <c r="E55" s="79">
        <v>8718719850312</v>
      </c>
      <c r="F55" s="591" t="s">
        <v>75</v>
      </c>
      <c r="G55" s="77" t="s">
        <v>91</v>
      </c>
      <c r="H55" s="78" t="s">
        <v>77</v>
      </c>
      <c r="I55" s="559">
        <v>24</v>
      </c>
      <c r="J55" s="559">
        <v>72</v>
      </c>
      <c r="K55" s="559">
        <v>9</v>
      </c>
      <c r="L55" s="559">
        <v>8</v>
      </c>
      <c r="M55" s="566">
        <v>88</v>
      </c>
      <c r="N55" s="77">
        <v>377</v>
      </c>
      <c r="O55" s="77">
        <v>300</v>
      </c>
      <c r="P55" s="77">
        <v>163</v>
      </c>
      <c r="Q55" s="77">
        <v>4.68</v>
      </c>
      <c r="R55" s="77">
        <v>5.08</v>
      </c>
      <c r="S55" s="77">
        <v>50</v>
      </c>
      <c r="T55" s="77">
        <v>0</v>
      </c>
      <c r="U55" s="77">
        <v>0</v>
      </c>
      <c r="V55" s="77">
        <v>1</v>
      </c>
      <c r="W55" s="77">
        <v>0</v>
      </c>
      <c r="X55" s="77">
        <v>0</v>
      </c>
      <c r="Y55" s="77">
        <v>0</v>
      </c>
      <c r="Z55" s="78" t="s">
        <v>41</v>
      </c>
      <c r="AA55" s="351">
        <f>ROUNDUP(bhpc_data!$AI55/bhpc_data[[#This Row],[units_per_carton]],0)</f>
        <v>0</v>
      </c>
      <c r="AB55" s="351">
        <f>bhpc_data!$AJ55/bhpc_data[[#This Row],[units_per_carton]]</f>
        <v>0</v>
      </c>
      <c r="AC55" s="351">
        <f>(bhpc_data[[#This Row],[net_weight]]/bhpc_data[[#This Row],[units_per_carton]])*bhpc_data!$AK55*bhpc_data[[#This Row],[product1_weight]]</f>
        <v>0</v>
      </c>
      <c r="AD55" s="351">
        <f>(bhpc_data[[#This Row],[net_weight]]/bhpc_data[[#This Row],[units_per_carton]])*bhpc_data!$AK55*bhpc_data[[#This Row],[product2_weight]]</f>
        <v>0</v>
      </c>
      <c r="AE55" s="351">
        <f>(bhpc_data[[#This Row],[gross_weight]]/bhpc_data[[#This Row],[units_per_carton]])*bhpc_data!$AK55*bhpc_data[[#This Row],[product1_weight]]</f>
        <v>0</v>
      </c>
      <c r="AF55" s="351">
        <f>(bhpc_data[[#This Row],[gross_weight]]/bhpc_data[[#This Row],[units_per_carton]])*bhpc_data!$AK55*bhpc_data[[#This Row],[product2_weight]]</f>
        <v>0</v>
      </c>
      <c r="AG55" s="351">
        <f>(bhpc_data[[#This Row],[lenght]]*bhpc_data[[#This Row],[width]]*bhpc_data[[#This Row],[height]])/1000000000*bhpc_data!$AK55/bhpc_data[[#This Row],[units_per_carton]]*bhpc_data[[#This Row],[product1_weight]]</f>
        <v>0</v>
      </c>
      <c r="AH55" s="351">
        <f>(bhpc_data[[#This Row],[lenght]]*bhpc_data[[#This Row],[width]]*bhpc_data[[#This Row],[height]])/1000000000*bhpc_data!$AK55/bhpc_data[[#This Row],[units_per_carton]]*bhpc_data[[#This Row],[product2_weight]]</f>
        <v>0</v>
      </c>
      <c r="AI55" s="352">
        <f>SUMIF(productsSku,bhpc_data[[#This Row],[sku]],productsQty)+SUMIF(productsSku,bhpc_data[[#This Row],[sku]],productsDiscQty)</f>
        <v>0</v>
      </c>
      <c r="AJ55" s="352">
        <f>SUMIF(productsSku,bhpc_data[[#This Row],[sku]],productsFocQty)</f>
        <v>0</v>
      </c>
      <c r="AK55" s="353">
        <f>bhpc_data!$AI55+bhpc_data!$AJ55</f>
        <v>0</v>
      </c>
      <c r="AL55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5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5" s="551">
        <f>IF(bhpc_data[[#This Row],[hs_code]]="","",IF(bhpc_data[[#This Row],[hs_code]]="33030090",bhpc_data[[#This Row],[tot_order]]/bhpc_data[[#This Row],[units_per_carton]]*bhpc_data[[#This Row],[net_weight]],0))</f>
        <v>0</v>
      </c>
      <c r="AO55" s="568">
        <f>IFERROR(bhpc_data[[#This Row],[tot_order]]/bhpc_data[[#This Row],[units_per_carton]]/bhpc_data[[#This Row],[box_per_europallet]],"")</f>
        <v>0</v>
      </c>
      <c r="AP55" s="568">
        <f>IFERROR(bhpc_data[[#This Row],[tot_order]]/bhpc_data[[#This Row],[units_per_carton]]/bhpc_data[[#This Row],[box_per_pallet]],"")</f>
        <v>0</v>
      </c>
      <c r="AQ55" s="581">
        <f>IFERROR(ROUNDUP(bhpc_data[[#This Row],[pallet_euro]],0),"")</f>
        <v>0</v>
      </c>
      <c r="AR55" s="581">
        <f>IFERROR(ROUNDUP(bhpc_data[[#This Row],[pallet]],0),"")</f>
        <v>0</v>
      </c>
      <c r="AV55" s="77" t="s">
        <v>106</v>
      </c>
    </row>
    <row r="56" spans="1:48">
      <c r="A56" s="77" t="s">
        <v>119</v>
      </c>
      <c r="B56" s="77" t="s">
        <v>74</v>
      </c>
      <c r="C56" s="77">
        <v>1</v>
      </c>
      <c r="D56" s="77" t="s">
        <v>49</v>
      </c>
      <c r="E56" s="79">
        <v>6291107162713</v>
      </c>
      <c r="F56" s="591" t="s">
        <v>75</v>
      </c>
      <c r="G56" s="77" t="s">
        <v>120</v>
      </c>
      <c r="H56" s="78" t="s">
        <v>77</v>
      </c>
      <c r="I56" s="559">
        <v>24</v>
      </c>
      <c r="J56" s="559">
        <v>64</v>
      </c>
      <c r="K56" s="559">
        <v>8</v>
      </c>
      <c r="L56" s="559">
        <v>8</v>
      </c>
      <c r="M56" s="566">
        <v>64</v>
      </c>
      <c r="N56" s="77">
        <v>430</v>
      </c>
      <c r="O56" s="77">
        <v>300</v>
      </c>
      <c r="P56" s="77">
        <v>195</v>
      </c>
      <c r="Q56" s="77">
        <v>6.87</v>
      </c>
      <c r="R56" s="77">
        <v>7.56</v>
      </c>
      <c r="S56" s="77">
        <v>100</v>
      </c>
      <c r="T56" s="77">
        <v>0</v>
      </c>
      <c r="U56" s="77">
        <v>0</v>
      </c>
      <c r="V56" s="77">
        <v>1</v>
      </c>
      <c r="W56" s="77">
        <v>0</v>
      </c>
      <c r="X56" s="77">
        <v>0</v>
      </c>
      <c r="Y56" s="77">
        <v>0</v>
      </c>
      <c r="Z56" s="78" t="s">
        <v>41</v>
      </c>
      <c r="AA56" s="348">
        <f>ROUNDUP(bhpc_data!$AI56/bhpc_data[[#This Row],[units_per_carton]],0)</f>
        <v>0</v>
      </c>
      <c r="AB56" s="348">
        <f>bhpc_data!$AJ56/bhpc_data[[#This Row],[units_per_carton]]</f>
        <v>0</v>
      </c>
      <c r="AC56" s="348">
        <f>(bhpc_data[[#This Row],[net_weight]]/bhpc_data[[#This Row],[units_per_carton]])*bhpc_data!$AK56*bhpc_data[[#This Row],[product1_weight]]</f>
        <v>0</v>
      </c>
      <c r="AD56" s="348">
        <f>(bhpc_data[[#This Row],[net_weight]]/bhpc_data[[#This Row],[units_per_carton]])*bhpc_data!$AK56*bhpc_data[[#This Row],[product2_weight]]</f>
        <v>0</v>
      </c>
      <c r="AE56" s="348">
        <f>(bhpc_data[[#This Row],[gross_weight]]/bhpc_data[[#This Row],[units_per_carton]])*bhpc_data!$AK56*bhpc_data[[#This Row],[product1_weight]]</f>
        <v>0</v>
      </c>
      <c r="AF56" s="348">
        <f>(bhpc_data[[#This Row],[gross_weight]]/bhpc_data[[#This Row],[units_per_carton]])*bhpc_data!$AK56*bhpc_data[[#This Row],[product2_weight]]</f>
        <v>0</v>
      </c>
      <c r="AG56" s="348">
        <f>(bhpc_data[[#This Row],[lenght]]*bhpc_data[[#This Row],[width]]*bhpc_data[[#This Row],[height]])/1000000000*bhpc_data!$AK56/bhpc_data[[#This Row],[units_per_carton]]*bhpc_data[[#This Row],[product1_weight]]</f>
        <v>0</v>
      </c>
      <c r="AH56" s="348">
        <f>(bhpc_data[[#This Row],[lenght]]*bhpc_data[[#This Row],[width]]*bhpc_data[[#This Row],[height]])/1000000000*bhpc_data!$AK56/bhpc_data[[#This Row],[units_per_carton]]*bhpc_data[[#This Row],[product2_weight]]</f>
        <v>0</v>
      </c>
      <c r="AI56" s="349">
        <f>SUMIF(productsSku,bhpc_data[[#This Row],[sku]],productsQty)+SUMIF(productsSku,bhpc_data[[#This Row],[sku]],productsDiscQty)</f>
        <v>0</v>
      </c>
      <c r="AJ56" s="349">
        <f>SUMIF(productsSku,bhpc_data[[#This Row],[sku]],productsFocQty)</f>
        <v>0</v>
      </c>
      <c r="AK56" s="350">
        <f>bhpc_data!$AI56+bhpc_data!$AJ56</f>
        <v>0</v>
      </c>
      <c r="AL56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6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6" s="551">
        <f>IF(bhpc_data[[#This Row],[hs_code]]="","",IF(bhpc_data[[#This Row],[hs_code]]="33030090",bhpc_data[[#This Row],[tot_order]]/bhpc_data[[#This Row],[units_per_carton]]*bhpc_data[[#This Row],[net_weight]],0))</f>
        <v>0</v>
      </c>
      <c r="AO56" s="568">
        <f>IFERROR(bhpc_data[[#This Row],[tot_order]]/bhpc_data[[#This Row],[units_per_carton]]/bhpc_data[[#This Row],[box_per_europallet]],"")</f>
        <v>0</v>
      </c>
      <c r="AP56" s="568">
        <f>IFERROR(bhpc_data[[#This Row],[tot_order]]/bhpc_data[[#This Row],[units_per_carton]]/bhpc_data[[#This Row],[box_per_pallet]],"")</f>
        <v>0</v>
      </c>
      <c r="AQ56" s="581">
        <f>IFERROR(ROUNDUP(bhpc_data[[#This Row],[pallet_euro]],0),"")</f>
        <v>0</v>
      </c>
      <c r="AR56" s="581">
        <f>IFERROR(ROUNDUP(bhpc_data[[#This Row],[pallet]],0),"")</f>
        <v>0</v>
      </c>
      <c r="AV56" s="77" t="s">
        <v>57</v>
      </c>
    </row>
    <row r="57" spans="1:48">
      <c r="A57" s="77" t="s">
        <v>121</v>
      </c>
      <c r="B57" s="77" t="s">
        <v>74</v>
      </c>
      <c r="C57" s="77">
        <v>1</v>
      </c>
      <c r="D57" s="77" t="s">
        <v>49</v>
      </c>
      <c r="E57" s="79">
        <v>6291107162720</v>
      </c>
      <c r="F57" s="591" t="s">
        <v>75</v>
      </c>
      <c r="G57" s="77" t="s">
        <v>122</v>
      </c>
      <c r="H57" s="78" t="s">
        <v>77</v>
      </c>
      <c r="I57" s="559">
        <v>24</v>
      </c>
      <c r="J57" s="559">
        <v>64</v>
      </c>
      <c r="K57" s="559">
        <v>8</v>
      </c>
      <c r="L57" s="559">
        <v>8</v>
      </c>
      <c r="M57" s="566">
        <v>64</v>
      </c>
      <c r="N57" s="77">
        <v>430</v>
      </c>
      <c r="O57" s="77">
        <v>300</v>
      </c>
      <c r="P57" s="77">
        <v>195</v>
      </c>
      <c r="Q57" s="77">
        <v>6.87</v>
      </c>
      <c r="R57" s="77">
        <v>7.56</v>
      </c>
      <c r="S57" s="77">
        <v>100</v>
      </c>
      <c r="T57" s="77">
        <v>0</v>
      </c>
      <c r="U57" s="77">
        <v>0</v>
      </c>
      <c r="V57" s="77">
        <v>1</v>
      </c>
      <c r="W57" s="77">
        <v>0</v>
      </c>
      <c r="X57" s="77">
        <v>0</v>
      </c>
      <c r="Y57" s="77">
        <v>0</v>
      </c>
      <c r="Z57" s="78" t="s">
        <v>41</v>
      </c>
      <c r="AA57" s="351">
        <f>ROUNDUP(bhpc_data!$AI57/bhpc_data[[#This Row],[units_per_carton]],0)</f>
        <v>0</v>
      </c>
      <c r="AB57" s="351">
        <f>bhpc_data!$AJ57/bhpc_data[[#This Row],[units_per_carton]]</f>
        <v>0</v>
      </c>
      <c r="AC57" s="351">
        <f>(bhpc_data[[#This Row],[net_weight]]/bhpc_data[[#This Row],[units_per_carton]])*bhpc_data!$AK57*bhpc_data[[#This Row],[product1_weight]]</f>
        <v>0</v>
      </c>
      <c r="AD57" s="351">
        <f>(bhpc_data[[#This Row],[net_weight]]/bhpc_data[[#This Row],[units_per_carton]])*bhpc_data!$AK57*bhpc_data[[#This Row],[product2_weight]]</f>
        <v>0</v>
      </c>
      <c r="AE57" s="351">
        <f>(bhpc_data[[#This Row],[gross_weight]]/bhpc_data[[#This Row],[units_per_carton]])*bhpc_data!$AK57*bhpc_data[[#This Row],[product1_weight]]</f>
        <v>0</v>
      </c>
      <c r="AF57" s="351">
        <f>(bhpc_data[[#This Row],[gross_weight]]/bhpc_data[[#This Row],[units_per_carton]])*bhpc_data!$AK57*bhpc_data[[#This Row],[product2_weight]]</f>
        <v>0</v>
      </c>
      <c r="AG57" s="351">
        <f>(bhpc_data[[#This Row],[lenght]]*bhpc_data[[#This Row],[width]]*bhpc_data[[#This Row],[height]])/1000000000*bhpc_data!$AK57/bhpc_data[[#This Row],[units_per_carton]]*bhpc_data[[#This Row],[product1_weight]]</f>
        <v>0</v>
      </c>
      <c r="AH57" s="351">
        <f>(bhpc_data[[#This Row],[lenght]]*bhpc_data[[#This Row],[width]]*bhpc_data[[#This Row],[height]])/1000000000*bhpc_data!$AK57/bhpc_data[[#This Row],[units_per_carton]]*bhpc_data[[#This Row],[product2_weight]]</f>
        <v>0</v>
      </c>
      <c r="AI57" s="352">
        <f>SUMIF(productsSku,bhpc_data[[#This Row],[sku]],productsQty)+SUMIF(productsSku,bhpc_data[[#This Row],[sku]],productsDiscQty)</f>
        <v>0</v>
      </c>
      <c r="AJ57" s="352">
        <f>SUMIF(productsSku,bhpc_data[[#This Row],[sku]],productsFocQty)</f>
        <v>0</v>
      </c>
      <c r="AK57" s="353">
        <f>bhpc_data!$AI57+bhpc_data!$AJ57</f>
        <v>0</v>
      </c>
      <c r="AL57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7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7" s="551">
        <f>IF(bhpc_data[[#This Row],[hs_code]]="","",IF(bhpc_data[[#This Row],[hs_code]]="33030090",bhpc_data[[#This Row],[tot_order]]/bhpc_data[[#This Row],[units_per_carton]]*bhpc_data[[#This Row],[net_weight]],0))</f>
        <v>0</v>
      </c>
      <c r="AO57" s="568">
        <f>IFERROR(bhpc_data[[#This Row],[tot_order]]/bhpc_data[[#This Row],[units_per_carton]]/bhpc_data[[#This Row],[box_per_europallet]],"")</f>
        <v>0</v>
      </c>
      <c r="AP57" s="568">
        <f>IFERROR(bhpc_data[[#This Row],[tot_order]]/bhpc_data[[#This Row],[units_per_carton]]/bhpc_data[[#This Row],[box_per_pallet]],"")</f>
        <v>0</v>
      </c>
      <c r="AQ57" s="581">
        <f>IFERROR(ROUNDUP(bhpc_data[[#This Row],[pallet_euro]],0),"")</f>
        <v>0</v>
      </c>
      <c r="AR57" s="581">
        <f>IFERROR(ROUNDUP(bhpc_data[[#This Row],[pallet]],0),"")</f>
        <v>0</v>
      </c>
      <c r="AV57" s="77" t="s">
        <v>59</v>
      </c>
    </row>
    <row r="58" spans="1:48">
      <c r="A58" s="77" t="s">
        <v>123</v>
      </c>
      <c r="B58" s="77" t="s">
        <v>74</v>
      </c>
      <c r="C58" s="77">
        <v>1</v>
      </c>
      <c r="D58" s="77" t="s">
        <v>49</v>
      </c>
      <c r="E58" s="79">
        <v>6291107162737</v>
      </c>
      <c r="F58" s="591" t="s">
        <v>75</v>
      </c>
      <c r="G58" s="77" t="s">
        <v>124</v>
      </c>
      <c r="H58" s="78" t="s">
        <v>77</v>
      </c>
      <c r="I58" s="559">
        <v>24</v>
      </c>
      <c r="J58" s="559">
        <v>64</v>
      </c>
      <c r="K58" s="559">
        <v>8</v>
      </c>
      <c r="L58" s="559">
        <v>8</v>
      </c>
      <c r="M58" s="566">
        <v>64</v>
      </c>
      <c r="N58" s="77">
        <v>430</v>
      </c>
      <c r="O58" s="77">
        <v>300</v>
      </c>
      <c r="P58" s="77">
        <v>195</v>
      </c>
      <c r="Q58" s="77">
        <v>6.87</v>
      </c>
      <c r="R58" s="77">
        <v>7.56</v>
      </c>
      <c r="S58" s="77">
        <v>100</v>
      </c>
      <c r="T58" s="77">
        <v>0</v>
      </c>
      <c r="U58" s="77">
        <v>0</v>
      </c>
      <c r="V58" s="77">
        <v>1</v>
      </c>
      <c r="W58" s="77">
        <v>0</v>
      </c>
      <c r="X58" s="77">
        <v>0</v>
      </c>
      <c r="Y58" s="77">
        <v>0</v>
      </c>
      <c r="Z58" s="78" t="s">
        <v>41</v>
      </c>
      <c r="AA58" s="348">
        <f>ROUNDUP(bhpc_data!$AI58/bhpc_data[[#This Row],[units_per_carton]],0)</f>
        <v>0</v>
      </c>
      <c r="AB58" s="348">
        <f>bhpc_data!$AJ58/bhpc_data[[#This Row],[units_per_carton]]</f>
        <v>0</v>
      </c>
      <c r="AC58" s="348">
        <f>(bhpc_data[[#This Row],[net_weight]]/bhpc_data[[#This Row],[units_per_carton]])*bhpc_data!$AK58*bhpc_data[[#This Row],[product1_weight]]</f>
        <v>0</v>
      </c>
      <c r="AD58" s="348">
        <f>(bhpc_data[[#This Row],[net_weight]]/bhpc_data[[#This Row],[units_per_carton]])*bhpc_data!$AK58*bhpc_data[[#This Row],[product2_weight]]</f>
        <v>0</v>
      </c>
      <c r="AE58" s="348">
        <f>(bhpc_data[[#This Row],[gross_weight]]/bhpc_data[[#This Row],[units_per_carton]])*bhpc_data!$AK58*bhpc_data[[#This Row],[product1_weight]]</f>
        <v>0</v>
      </c>
      <c r="AF58" s="348">
        <f>(bhpc_data[[#This Row],[gross_weight]]/bhpc_data[[#This Row],[units_per_carton]])*bhpc_data!$AK58*bhpc_data[[#This Row],[product2_weight]]</f>
        <v>0</v>
      </c>
      <c r="AG58" s="348">
        <f>(bhpc_data[[#This Row],[lenght]]*bhpc_data[[#This Row],[width]]*bhpc_data[[#This Row],[height]])/1000000000*bhpc_data!$AK58/bhpc_data[[#This Row],[units_per_carton]]*bhpc_data[[#This Row],[product1_weight]]</f>
        <v>0</v>
      </c>
      <c r="AH58" s="348">
        <f>(bhpc_data[[#This Row],[lenght]]*bhpc_data[[#This Row],[width]]*bhpc_data[[#This Row],[height]])/1000000000*bhpc_data!$AK58/bhpc_data[[#This Row],[units_per_carton]]*bhpc_data[[#This Row],[product2_weight]]</f>
        <v>0</v>
      </c>
      <c r="AI58" s="349">
        <f>SUMIF(productsSku,bhpc_data[[#This Row],[sku]],productsQty)+SUMIF(productsSku,bhpc_data[[#This Row],[sku]],productsDiscQty)</f>
        <v>0</v>
      </c>
      <c r="AJ58" s="349">
        <f>SUMIF(productsSku,bhpc_data[[#This Row],[sku]],productsFocQty)</f>
        <v>0</v>
      </c>
      <c r="AK58" s="350">
        <f>bhpc_data!$AI58+bhpc_data!$AJ58</f>
        <v>0</v>
      </c>
      <c r="AL58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8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8" s="551">
        <f>IF(bhpc_data[[#This Row],[hs_code]]="","",IF(bhpc_data[[#This Row],[hs_code]]="33030090",bhpc_data[[#This Row],[tot_order]]/bhpc_data[[#This Row],[units_per_carton]]*bhpc_data[[#This Row],[net_weight]],0))</f>
        <v>0</v>
      </c>
      <c r="AO58" s="568">
        <f>IFERROR(bhpc_data[[#This Row],[tot_order]]/bhpc_data[[#This Row],[units_per_carton]]/bhpc_data[[#This Row],[box_per_europallet]],"")</f>
        <v>0</v>
      </c>
      <c r="AP58" s="568">
        <f>IFERROR(bhpc_data[[#This Row],[tot_order]]/bhpc_data[[#This Row],[units_per_carton]]/bhpc_data[[#This Row],[box_per_pallet]],"")</f>
        <v>0</v>
      </c>
      <c r="AQ58" s="581">
        <f>IFERROR(ROUNDUP(bhpc_data[[#This Row],[pallet_euro]],0),"")</f>
        <v>0</v>
      </c>
      <c r="AR58" s="581">
        <f>IFERROR(ROUNDUP(bhpc_data[[#This Row],[pallet]],0),"")</f>
        <v>0</v>
      </c>
      <c r="AV58" s="77" t="s">
        <v>61</v>
      </c>
    </row>
    <row r="59" spans="1:48">
      <c r="A59" s="77" t="s">
        <v>125</v>
      </c>
      <c r="B59" s="77" t="s">
        <v>74</v>
      </c>
      <c r="C59" s="77">
        <v>1</v>
      </c>
      <c r="D59" s="77" t="s">
        <v>49</v>
      </c>
      <c r="E59" s="79">
        <v>6291107162744</v>
      </c>
      <c r="F59" s="591" t="s">
        <v>75</v>
      </c>
      <c r="G59" s="77" t="s">
        <v>126</v>
      </c>
      <c r="H59" s="78" t="s">
        <v>77</v>
      </c>
      <c r="I59" s="559">
        <v>24</v>
      </c>
      <c r="J59" s="559">
        <v>64</v>
      </c>
      <c r="K59" s="559">
        <v>8</v>
      </c>
      <c r="L59" s="559">
        <v>8</v>
      </c>
      <c r="M59" s="566">
        <v>64</v>
      </c>
      <c r="N59" s="77">
        <v>430</v>
      </c>
      <c r="O59" s="77">
        <v>300</v>
      </c>
      <c r="P59" s="77">
        <v>195</v>
      </c>
      <c r="Q59" s="77">
        <v>6.87</v>
      </c>
      <c r="R59" s="77">
        <v>7.56</v>
      </c>
      <c r="S59" s="77">
        <v>100</v>
      </c>
      <c r="T59" s="77">
        <v>0</v>
      </c>
      <c r="U59" s="77">
        <v>0</v>
      </c>
      <c r="V59" s="77">
        <v>1</v>
      </c>
      <c r="W59" s="77">
        <v>0</v>
      </c>
      <c r="X59" s="77">
        <v>0</v>
      </c>
      <c r="Y59" s="77">
        <v>0</v>
      </c>
      <c r="Z59" s="78" t="s">
        <v>41</v>
      </c>
      <c r="AA59" s="351">
        <f>ROUNDUP(bhpc_data!$AI59/bhpc_data[[#This Row],[units_per_carton]],0)</f>
        <v>0</v>
      </c>
      <c r="AB59" s="351">
        <f>bhpc_data!$AJ59/bhpc_data[[#This Row],[units_per_carton]]</f>
        <v>0</v>
      </c>
      <c r="AC59" s="351">
        <f>(bhpc_data[[#This Row],[net_weight]]/bhpc_data[[#This Row],[units_per_carton]])*bhpc_data!$AK59*bhpc_data[[#This Row],[product1_weight]]</f>
        <v>0</v>
      </c>
      <c r="AD59" s="351">
        <f>(bhpc_data[[#This Row],[net_weight]]/bhpc_data[[#This Row],[units_per_carton]])*bhpc_data!$AK59*bhpc_data[[#This Row],[product2_weight]]</f>
        <v>0</v>
      </c>
      <c r="AE59" s="351">
        <f>(bhpc_data[[#This Row],[gross_weight]]/bhpc_data[[#This Row],[units_per_carton]])*bhpc_data!$AK59*bhpc_data[[#This Row],[product1_weight]]</f>
        <v>0</v>
      </c>
      <c r="AF59" s="351">
        <f>(bhpc_data[[#This Row],[gross_weight]]/bhpc_data[[#This Row],[units_per_carton]])*bhpc_data!$AK59*bhpc_data[[#This Row],[product2_weight]]</f>
        <v>0</v>
      </c>
      <c r="AG59" s="351">
        <f>(bhpc_data[[#This Row],[lenght]]*bhpc_data[[#This Row],[width]]*bhpc_data[[#This Row],[height]])/1000000000*bhpc_data!$AK59/bhpc_data[[#This Row],[units_per_carton]]*bhpc_data[[#This Row],[product1_weight]]</f>
        <v>0</v>
      </c>
      <c r="AH59" s="351">
        <f>(bhpc_data[[#This Row],[lenght]]*bhpc_data[[#This Row],[width]]*bhpc_data[[#This Row],[height]])/1000000000*bhpc_data!$AK59/bhpc_data[[#This Row],[units_per_carton]]*bhpc_data[[#This Row],[product2_weight]]</f>
        <v>0</v>
      </c>
      <c r="AI59" s="352">
        <f>SUMIF(productsSku,bhpc_data[[#This Row],[sku]],productsQty)+SUMIF(productsSku,bhpc_data[[#This Row],[sku]],productsDiscQty)</f>
        <v>0</v>
      </c>
      <c r="AJ59" s="352">
        <f>SUMIF(productsSku,bhpc_data[[#This Row],[sku]],productsFocQty)</f>
        <v>0</v>
      </c>
      <c r="AK59" s="353">
        <f>bhpc_data!$AI59+bhpc_data!$AJ59</f>
        <v>0</v>
      </c>
      <c r="AL59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59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59" s="551">
        <f>IF(bhpc_data[[#This Row],[hs_code]]="","",IF(bhpc_data[[#This Row],[hs_code]]="33030090",bhpc_data[[#This Row],[tot_order]]/bhpc_data[[#This Row],[units_per_carton]]*bhpc_data[[#This Row],[net_weight]],0))</f>
        <v>0</v>
      </c>
      <c r="AO59" s="568">
        <f>IFERROR(bhpc_data[[#This Row],[tot_order]]/bhpc_data[[#This Row],[units_per_carton]]/bhpc_data[[#This Row],[box_per_europallet]],"")</f>
        <v>0</v>
      </c>
      <c r="AP59" s="568">
        <f>IFERROR(bhpc_data[[#This Row],[tot_order]]/bhpc_data[[#This Row],[units_per_carton]]/bhpc_data[[#This Row],[box_per_pallet]],"")</f>
        <v>0</v>
      </c>
      <c r="AQ59" s="581">
        <f>IFERROR(ROUNDUP(bhpc_data[[#This Row],[pallet_euro]],0),"")</f>
        <v>0</v>
      </c>
      <c r="AR59" s="581">
        <f>IFERROR(ROUNDUP(bhpc_data[[#This Row],[pallet]],0),"")</f>
        <v>0</v>
      </c>
      <c r="AV59" s="77" t="s">
        <v>63</v>
      </c>
    </row>
    <row r="60" spans="1:48">
      <c r="A60" s="77" t="s">
        <v>127</v>
      </c>
      <c r="B60" s="77" t="s">
        <v>128</v>
      </c>
      <c r="C60" s="77">
        <v>1</v>
      </c>
      <c r="D60" s="77" t="s">
        <v>38</v>
      </c>
      <c r="E60" s="79">
        <v>6291107160771</v>
      </c>
      <c r="F60" s="591" t="s">
        <v>75</v>
      </c>
      <c r="G60" s="77" t="s">
        <v>129</v>
      </c>
      <c r="H60" s="78" t="s">
        <v>77</v>
      </c>
      <c r="I60" s="559">
        <v>24</v>
      </c>
      <c r="J60" s="559">
        <v>48</v>
      </c>
      <c r="K60" s="559">
        <v>8</v>
      </c>
      <c r="L60" s="559">
        <v>6</v>
      </c>
      <c r="M60" s="566">
        <v>60</v>
      </c>
      <c r="N60" s="77">
        <v>370</v>
      </c>
      <c r="O60" s="77">
        <v>275</v>
      </c>
      <c r="P60" s="77">
        <v>170</v>
      </c>
      <c r="Q60" s="77">
        <v>9.48</v>
      </c>
      <c r="R60" s="77">
        <v>9.9</v>
      </c>
      <c r="S60" s="77">
        <v>100</v>
      </c>
      <c r="T60" s="77">
        <v>0</v>
      </c>
      <c r="U60" s="77">
        <v>0</v>
      </c>
      <c r="V60" s="77">
        <v>1</v>
      </c>
      <c r="W60" s="77">
        <v>0</v>
      </c>
      <c r="X60" s="77">
        <v>0</v>
      </c>
      <c r="Y60" s="77">
        <v>0</v>
      </c>
      <c r="Z60" s="78" t="s">
        <v>41</v>
      </c>
      <c r="AA60" s="348">
        <f>ROUNDUP(bhpc_data!$AI60/bhpc_data[[#This Row],[units_per_carton]],0)</f>
        <v>0</v>
      </c>
      <c r="AB60" s="348">
        <f>bhpc_data!$AJ60/bhpc_data[[#This Row],[units_per_carton]]</f>
        <v>0</v>
      </c>
      <c r="AC60" s="348">
        <f>(bhpc_data[[#This Row],[net_weight]]/bhpc_data[[#This Row],[units_per_carton]])*bhpc_data!$AK60*bhpc_data[[#This Row],[product1_weight]]</f>
        <v>0</v>
      </c>
      <c r="AD60" s="348">
        <f>(bhpc_data[[#This Row],[net_weight]]/bhpc_data[[#This Row],[units_per_carton]])*bhpc_data!$AK60*bhpc_data[[#This Row],[product2_weight]]</f>
        <v>0</v>
      </c>
      <c r="AE60" s="348">
        <f>(bhpc_data[[#This Row],[gross_weight]]/bhpc_data[[#This Row],[units_per_carton]])*bhpc_data!$AK60*bhpc_data[[#This Row],[product1_weight]]</f>
        <v>0</v>
      </c>
      <c r="AF60" s="348">
        <f>(bhpc_data[[#This Row],[gross_weight]]/bhpc_data[[#This Row],[units_per_carton]])*bhpc_data!$AK60*bhpc_data[[#This Row],[product2_weight]]</f>
        <v>0</v>
      </c>
      <c r="AG60" s="348">
        <f>(bhpc_data[[#This Row],[lenght]]*bhpc_data[[#This Row],[width]]*bhpc_data[[#This Row],[height]])/1000000000*bhpc_data!$AK60/bhpc_data[[#This Row],[units_per_carton]]*bhpc_data[[#This Row],[product1_weight]]</f>
        <v>0</v>
      </c>
      <c r="AH60" s="348">
        <f>(bhpc_data[[#This Row],[lenght]]*bhpc_data[[#This Row],[width]]*bhpc_data[[#This Row],[height]])/1000000000*bhpc_data!$AK60/bhpc_data[[#This Row],[units_per_carton]]*bhpc_data[[#This Row],[product2_weight]]</f>
        <v>0</v>
      </c>
      <c r="AI60" s="349">
        <f>SUMIF(productsSku,bhpc_data[[#This Row],[sku]],productsQty)+SUMIF(productsSku,bhpc_data[[#This Row],[sku]],productsDiscQty)</f>
        <v>0</v>
      </c>
      <c r="AJ60" s="349">
        <f>SUMIF(productsSku,bhpc_data[[#This Row],[sku]],productsFocQty)</f>
        <v>0</v>
      </c>
      <c r="AK60" s="350">
        <f>bhpc_data!$AI60+bhpc_data!$AJ60</f>
        <v>0</v>
      </c>
      <c r="AL60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0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0" s="551">
        <f>IF(bhpc_data[[#This Row],[hs_code]]="","",IF(bhpc_data[[#This Row],[hs_code]]="33030090",bhpc_data[[#This Row],[tot_order]]/bhpc_data[[#This Row],[units_per_carton]]*bhpc_data[[#This Row],[net_weight]],0))</f>
        <v>0</v>
      </c>
      <c r="AO60" s="568">
        <f>IFERROR(bhpc_data[[#This Row],[tot_order]]/bhpc_data[[#This Row],[units_per_carton]]/bhpc_data[[#This Row],[box_per_europallet]],"")</f>
        <v>0</v>
      </c>
      <c r="AP60" s="568">
        <f>IFERROR(bhpc_data[[#This Row],[tot_order]]/bhpc_data[[#This Row],[units_per_carton]]/bhpc_data[[#This Row],[box_per_pallet]],"")</f>
        <v>0</v>
      </c>
      <c r="AQ60" s="581">
        <f>IFERROR(ROUNDUP(bhpc_data[[#This Row],[pallet_euro]],0),"")</f>
        <v>0</v>
      </c>
      <c r="AR60" s="581">
        <f>IFERROR(ROUNDUP(bhpc_data[[#This Row],[pallet]],0),"")</f>
        <v>0</v>
      </c>
    </row>
    <row r="61" spans="1:48">
      <c r="A61" s="77" t="s">
        <v>130</v>
      </c>
      <c r="B61" s="77" t="s">
        <v>128</v>
      </c>
      <c r="C61" s="77">
        <v>1</v>
      </c>
      <c r="D61" s="77" t="s">
        <v>38</v>
      </c>
      <c r="E61" s="79">
        <v>6291107160788</v>
      </c>
      <c r="F61" s="591" t="s">
        <v>75</v>
      </c>
      <c r="G61" s="77" t="s">
        <v>131</v>
      </c>
      <c r="H61" s="78" t="s">
        <v>77</v>
      </c>
      <c r="I61" s="559">
        <v>24</v>
      </c>
      <c r="J61" s="559">
        <v>48</v>
      </c>
      <c r="K61" s="559">
        <v>8</v>
      </c>
      <c r="L61" s="559">
        <v>6</v>
      </c>
      <c r="M61" s="566">
        <v>60</v>
      </c>
      <c r="N61" s="77">
        <v>370</v>
      </c>
      <c r="O61" s="77">
        <v>275</v>
      </c>
      <c r="P61" s="77">
        <v>170</v>
      </c>
      <c r="Q61" s="77">
        <v>9.48</v>
      </c>
      <c r="R61" s="77">
        <v>9.9</v>
      </c>
      <c r="S61" s="77">
        <v>100</v>
      </c>
      <c r="T61" s="77">
        <v>0</v>
      </c>
      <c r="U61" s="77">
        <v>0</v>
      </c>
      <c r="V61" s="77">
        <v>1</v>
      </c>
      <c r="W61" s="77">
        <v>0</v>
      </c>
      <c r="X61" s="77">
        <v>0</v>
      </c>
      <c r="Y61" s="77">
        <v>0</v>
      </c>
      <c r="Z61" s="78" t="s">
        <v>41</v>
      </c>
      <c r="AA61" s="351">
        <f>ROUNDUP(bhpc_data!$AI61/bhpc_data[[#This Row],[units_per_carton]],0)</f>
        <v>0</v>
      </c>
      <c r="AB61" s="351">
        <f>bhpc_data!$AJ61/bhpc_data[[#This Row],[units_per_carton]]</f>
        <v>0</v>
      </c>
      <c r="AC61" s="351">
        <f>(bhpc_data[[#This Row],[net_weight]]/bhpc_data[[#This Row],[units_per_carton]])*bhpc_data!$AK61*bhpc_data[[#This Row],[product1_weight]]</f>
        <v>0</v>
      </c>
      <c r="AD61" s="351">
        <f>(bhpc_data[[#This Row],[net_weight]]/bhpc_data[[#This Row],[units_per_carton]])*bhpc_data!$AK61*bhpc_data[[#This Row],[product2_weight]]</f>
        <v>0</v>
      </c>
      <c r="AE61" s="351">
        <f>(bhpc_data[[#This Row],[gross_weight]]/bhpc_data[[#This Row],[units_per_carton]])*bhpc_data!$AK61*bhpc_data[[#This Row],[product1_weight]]</f>
        <v>0</v>
      </c>
      <c r="AF61" s="351">
        <f>(bhpc_data[[#This Row],[gross_weight]]/bhpc_data[[#This Row],[units_per_carton]])*bhpc_data!$AK61*bhpc_data[[#This Row],[product2_weight]]</f>
        <v>0</v>
      </c>
      <c r="AG61" s="351">
        <f>(bhpc_data[[#This Row],[lenght]]*bhpc_data[[#This Row],[width]]*bhpc_data[[#This Row],[height]])/1000000000*bhpc_data!$AK61/bhpc_data[[#This Row],[units_per_carton]]*bhpc_data[[#This Row],[product1_weight]]</f>
        <v>0</v>
      </c>
      <c r="AH61" s="351">
        <f>(bhpc_data[[#This Row],[lenght]]*bhpc_data[[#This Row],[width]]*bhpc_data[[#This Row],[height]])/1000000000*bhpc_data!$AK61/bhpc_data[[#This Row],[units_per_carton]]*bhpc_data[[#This Row],[product2_weight]]</f>
        <v>0</v>
      </c>
      <c r="AI61" s="352">
        <f>SUMIF(productsSku,bhpc_data[[#This Row],[sku]],productsQty)+SUMIF(productsSku,bhpc_data[[#This Row],[sku]],productsDiscQty)</f>
        <v>0</v>
      </c>
      <c r="AJ61" s="352">
        <f>SUMIF(productsSku,bhpc_data[[#This Row],[sku]],productsFocQty)</f>
        <v>0</v>
      </c>
      <c r="AK61" s="353">
        <f>bhpc_data!$AI61+bhpc_data!$AJ61</f>
        <v>0</v>
      </c>
      <c r="AL61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1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1" s="551">
        <f>IF(bhpc_data[[#This Row],[hs_code]]="","",IF(bhpc_data[[#This Row],[hs_code]]="33030090",bhpc_data[[#This Row],[tot_order]]/bhpc_data[[#This Row],[units_per_carton]]*bhpc_data[[#This Row],[net_weight]],0))</f>
        <v>0</v>
      </c>
      <c r="AO61" s="568">
        <f>IFERROR(bhpc_data[[#This Row],[tot_order]]/bhpc_data[[#This Row],[units_per_carton]]/bhpc_data[[#This Row],[box_per_europallet]],"")</f>
        <v>0</v>
      </c>
      <c r="AP61" s="568">
        <f>IFERROR(bhpc_data[[#This Row],[tot_order]]/bhpc_data[[#This Row],[units_per_carton]]/bhpc_data[[#This Row],[box_per_pallet]],"")</f>
        <v>0</v>
      </c>
      <c r="AQ61" s="581">
        <f>IFERROR(ROUNDUP(bhpc_data[[#This Row],[pallet_euro]],0),"")</f>
        <v>0</v>
      </c>
      <c r="AR61" s="581">
        <f>IFERROR(ROUNDUP(bhpc_data[[#This Row],[pallet]],0),"")</f>
        <v>0</v>
      </c>
    </row>
    <row r="62" spans="1:48">
      <c r="A62" s="77" t="s">
        <v>132</v>
      </c>
      <c r="B62" s="77" t="s">
        <v>128</v>
      </c>
      <c r="C62" s="77">
        <v>1</v>
      </c>
      <c r="D62" s="77" t="s">
        <v>38</v>
      </c>
      <c r="E62" s="79">
        <v>6291107160795</v>
      </c>
      <c r="F62" s="591" t="s">
        <v>75</v>
      </c>
      <c r="G62" s="77" t="s">
        <v>843</v>
      </c>
      <c r="H62" s="78" t="s">
        <v>77</v>
      </c>
      <c r="I62" s="559">
        <v>24</v>
      </c>
      <c r="J62" s="559">
        <v>48</v>
      </c>
      <c r="K62" s="559">
        <v>8</v>
      </c>
      <c r="L62" s="559">
        <v>6</v>
      </c>
      <c r="M62" s="566">
        <v>60</v>
      </c>
      <c r="N62" s="77">
        <v>370</v>
      </c>
      <c r="O62" s="77">
        <v>275</v>
      </c>
      <c r="P62" s="77">
        <v>170</v>
      </c>
      <c r="Q62" s="77">
        <v>9.48</v>
      </c>
      <c r="R62" s="77">
        <v>9.9</v>
      </c>
      <c r="S62" s="77">
        <v>100</v>
      </c>
      <c r="T62" s="77">
        <v>0</v>
      </c>
      <c r="U62" s="77">
        <v>0</v>
      </c>
      <c r="V62" s="77">
        <v>1</v>
      </c>
      <c r="W62" s="77">
        <v>0</v>
      </c>
      <c r="X62" s="77">
        <v>0</v>
      </c>
      <c r="Y62" s="77">
        <v>0</v>
      </c>
      <c r="Z62" s="78" t="s">
        <v>41</v>
      </c>
      <c r="AA62" s="348">
        <f>ROUNDUP(bhpc_data!$AI62/bhpc_data[[#This Row],[units_per_carton]],0)</f>
        <v>0</v>
      </c>
      <c r="AB62" s="348">
        <f>bhpc_data!$AJ62/bhpc_data[[#This Row],[units_per_carton]]</f>
        <v>0</v>
      </c>
      <c r="AC62" s="348">
        <f>(bhpc_data[[#This Row],[net_weight]]/bhpc_data[[#This Row],[units_per_carton]])*bhpc_data!$AK62*bhpc_data[[#This Row],[product1_weight]]</f>
        <v>0</v>
      </c>
      <c r="AD62" s="348">
        <f>(bhpc_data[[#This Row],[net_weight]]/bhpc_data[[#This Row],[units_per_carton]])*bhpc_data!$AK62*bhpc_data[[#This Row],[product2_weight]]</f>
        <v>0</v>
      </c>
      <c r="AE62" s="348">
        <f>(bhpc_data[[#This Row],[gross_weight]]/bhpc_data[[#This Row],[units_per_carton]])*bhpc_data!$AK62*bhpc_data[[#This Row],[product1_weight]]</f>
        <v>0</v>
      </c>
      <c r="AF62" s="348">
        <f>(bhpc_data[[#This Row],[gross_weight]]/bhpc_data[[#This Row],[units_per_carton]])*bhpc_data!$AK62*bhpc_data[[#This Row],[product2_weight]]</f>
        <v>0</v>
      </c>
      <c r="AG62" s="348">
        <f>(bhpc_data[[#This Row],[lenght]]*bhpc_data[[#This Row],[width]]*bhpc_data[[#This Row],[height]])/1000000000*bhpc_data!$AK62/bhpc_data[[#This Row],[units_per_carton]]*bhpc_data[[#This Row],[product1_weight]]</f>
        <v>0</v>
      </c>
      <c r="AH62" s="348">
        <f>(bhpc_data[[#This Row],[lenght]]*bhpc_data[[#This Row],[width]]*bhpc_data[[#This Row],[height]])/1000000000*bhpc_data!$AK62/bhpc_data[[#This Row],[units_per_carton]]*bhpc_data[[#This Row],[product2_weight]]</f>
        <v>0</v>
      </c>
      <c r="AI62" s="349">
        <f>SUMIF(productsSku,bhpc_data[[#This Row],[sku]],productsQty)+SUMIF(productsSku,bhpc_data[[#This Row],[sku]],productsDiscQty)</f>
        <v>0</v>
      </c>
      <c r="AJ62" s="349">
        <f>SUMIF(productsSku,bhpc_data[[#This Row],[sku]],productsFocQty)</f>
        <v>0</v>
      </c>
      <c r="AK62" s="350">
        <f>bhpc_data!$AI62+bhpc_data!$AJ62</f>
        <v>0</v>
      </c>
      <c r="AL62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2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2" s="551">
        <f>IF(bhpc_data[[#This Row],[hs_code]]="","",IF(bhpc_data[[#This Row],[hs_code]]="33030090",bhpc_data[[#This Row],[tot_order]]/bhpc_data[[#This Row],[units_per_carton]]*bhpc_data[[#This Row],[net_weight]],0))</f>
        <v>0</v>
      </c>
      <c r="AO62" s="568">
        <f>IFERROR(bhpc_data[[#This Row],[tot_order]]/bhpc_data[[#This Row],[units_per_carton]]/bhpc_data[[#This Row],[box_per_europallet]],"")</f>
        <v>0</v>
      </c>
      <c r="AP62" s="568">
        <f>IFERROR(bhpc_data[[#This Row],[tot_order]]/bhpc_data[[#This Row],[units_per_carton]]/bhpc_data[[#This Row],[box_per_pallet]],"")</f>
        <v>0</v>
      </c>
      <c r="AQ62" s="581">
        <f>IFERROR(ROUNDUP(bhpc_data[[#This Row],[pallet_euro]],0),"")</f>
        <v>0</v>
      </c>
      <c r="AR62" s="581">
        <f>IFERROR(ROUNDUP(bhpc_data[[#This Row],[pallet]],0),"")</f>
        <v>0</v>
      </c>
    </row>
    <row r="63" spans="1:48">
      <c r="A63" s="77" t="s">
        <v>134</v>
      </c>
      <c r="B63" s="77" t="s">
        <v>128</v>
      </c>
      <c r="C63" s="77">
        <v>1</v>
      </c>
      <c r="D63" s="77" t="s">
        <v>38</v>
      </c>
      <c r="E63" s="79">
        <v>6291107160801</v>
      </c>
      <c r="F63" s="591" t="s">
        <v>75</v>
      </c>
      <c r="G63" s="77" t="s">
        <v>135</v>
      </c>
      <c r="H63" s="78" t="s">
        <v>77</v>
      </c>
      <c r="I63" s="559">
        <v>24</v>
      </c>
      <c r="J63" s="559">
        <v>48</v>
      </c>
      <c r="K63" s="559">
        <v>8</v>
      </c>
      <c r="L63" s="559">
        <v>6</v>
      </c>
      <c r="M63" s="566">
        <v>60</v>
      </c>
      <c r="N63" s="77">
        <v>370</v>
      </c>
      <c r="O63" s="77">
        <v>275</v>
      </c>
      <c r="P63" s="77">
        <v>170</v>
      </c>
      <c r="Q63" s="77">
        <v>9.48</v>
      </c>
      <c r="R63" s="77">
        <v>9.9</v>
      </c>
      <c r="S63" s="77">
        <v>100</v>
      </c>
      <c r="T63" s="77">
        <v>0</v>
      </c>
      <c r="U63" s="77">
        <v>0</v>
      </c>
      <c r="V63" s="77">
        <v>1</v>
      </c>
      <c r="W63" s="77">
        <v>0</v>
      </c>
      <c r="X63" s="77">
        <v>0</v>
      </c>
      <c r="Y63" s="77">
        <v>0</v>
      </c>
      <c r="Z63" s="78" t="s">
        <v>41</v>
      </c>
      <c r="AA63" s="351">
        <f>ROUNDUP(bhpc_data!$AI63/bhpc_data[[#This Row],[units_per_carton]],0)</f>
        <v>30</v>
      </c>
      <c r="AB63" s="351">
        <f>bhpc_data!$AJ63/bhpc_data[[#This Row],[units_per_carton]]</f>
        <v>0</v>
      </c>
      <c r="AC63" s="351">
        <f>(bhpc_data[[#This Row],[net_weight]]/bhpc_data[[#This Row],[units_per_carton]])*bhpc_data!$AK63*bhpc_data[[#This Row],[product1_weight]]</f>
        <v>284.40000000000003</v>
      </c>
      <c r="AD63" s="351">
        <f>(bhpc_data[[#This Row],[net_weight]]/bhpc_data[[#This Row],[units_per_carton]])*bhpc_data!$AK63*bhpc_data[[#This Row],[product2_weight]]</f>
        <v>0</v>
      </c>
      <c r="AE63" s="351">
        <f>(bhpc_data[[#This Row],[gross_weight]]/bhpc_data[[#This Row],[units_per_carton]])*bhpc_data!$AK63*bhpc_data[[#This Row],[product1_weight]]</f>
        <v>297</v>
      </c>
      <c r="AF63" s="351">
        <f>(bhpc_data[[#This Row],[gross_weight]]/bhpc_data[[#This Row],[units_per_carton]])*bhpc_data!$AK63*bhpc_data[[#This Row],[product2_weight]]</f>
        <v>0</v>
      </c>
      <c r="AG63" s="351">
        <f>(bhpc_data[[#This Row],[lenght]]*bhpc_data[[#This Row],[width]]*bhpc_data[[#This Row],[height]])/1000000000*bhpc_data!$AK63/bhpc_data[[#This Row],[units_per_carton]]*bhpc_data[[#This Row],[product1_weight]]</f>
        <v>0.51892499999999997</v>
      </c>
      <c r="AH63" s="351">
        <f>(bhpc_data[[#This Row],[lenght]]*bhpc_data[[#This Row],[width]]*bhpc_data[[#This Row],[height]])/1000000000*bhpc_data!$AK63/bhpc_data[[#This Row],[units_per_carton]]*bhpc_data[[#This Row],[product2_weight]]</f>
        <v>0</v>
      </c>
      <c r="AI63" s="352">
        <f>SUMIF(productsSku,bhpc_data[[#This Row],[sku]],productsQty)+SUMIF(productsSku,bhpc_data[[#This Row],[sku]],productsDiscQty)</f>
        <v>720</v>
      </c>
      <c r="AJ63" s="352">
        <f>SUMIF(productsSku,bhpc_data[[#This Row],[sku]],productsFocQty)</f>
        <v>0</v>
      </c>
      <c r="AK63" s="353">
        <f>bhpc_data!$AI63+bhpc_data!$AJ63</f>
        <v>720</v>
      </c>
      <c r="AL63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284.40000000000003</v>
      </c>
      <c r="AM63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3" s="551">
        <f>IF(bhpc_data[[#This Row],[hs_code]]="","",IF(bhpc_data[[#This Row],[hs_code]]="33030090",bhpc_data[[#This Row],[tot_order]]/bhpc_data[[#This Row],[units_per_carton]]*bhpc_data[[#This Row],[net_weight]],0))</f>
        <v>0</v>
      </c>
      <c r="AO63" s="568">
        <f>IFERROR(bhpc_data[[#This Row],[tot_order]]/bhpc_data[[#This Row],[units_per_carton]]/bhpc_data[[#This Row],[box_per_europallet]],"")</f>
        <v>0.625</v>
      </c>
      <c r="AP63" s="568">
        <f>IFERROR(bhpc_data[[#This Row],[tot_order]]/bhpc_data[[#This Row],[units_per_carton]]/bhpc_data[[#This Row],[box_per_pallet]],"")</f>
        <v>0.5</v>
      </c>
      <c r="AQ63" s="581">
        <f>IFERROR(ROUNDUP(bhpc_data[[#This Row],[pallet_euro]],0),"")</f>
        <v>1</v>
      </c>
      <c r="AR63" s="581">
        <f>IFERROR(ROUNDUP(bhpc_data[[#This Row],[pallet]],0),"")</f>
        <v>1</v>
      </c>
    </row>
    <row r="64" spans="1:48">
      <c r="A64" s="77" t="s">
        <v>136</v>
      </c>
      <c r="B64" s="77" t="s">
        <v>128</v>
      </c>
      <c r="C64" s="77">
        <v>1</v>
      </c>
      <c r="D64" s="77" t="s">
        <v>49</v>
      </c>
      <c r="E64" s="79">
        <v>6291107160825</v>
      </c>
      <c r="F64" s="591" t="s">
        <v>75</v>
      </c>
      <c r="G64" s="77" t="s">
        <v>137</v>
      </c>
      <c r="H64" s="78" t="s">
        <v>77</v>
      </c>
      <c r="I64" s="559">
        <v>24</v>
      </c>
      <c r="J64" s="559">
        <v>48</v>
      </c>
      <c r="K64" s="559">
        <v>8</v>
      </c>
      <c r="L64" s="559">
        <v>6</v>
      </c>
      <c r="M64" s="566">
        <v>60</v>
      </c>
      <c r="N64" s="77">
        <v>375</v>
      </c>
      <c r="O64" s="77">
        <v>275</v>
      </c>
      <c r="P64" s="77">
        <v>170</v>
      </c>
      <c r="Q64" s="77">
        <v>9.1199999999999992</v>
      </c>
      <c r="R64" s="77">
        <v>9.5</v>
      </c>
      <c r="S64" s="77">
        <v>100</v>
      </c>
      <c r="T64" s="77">
        <v>0</v>
      </c>
      <c r="U64" s="77">
        <v>0</v>
      </c>
      <c r="V64" s="77">
        <v>1</v>
      </c>
      <c r="W64" s="77">
        <v>0</v>
      </c>
      <c r="X64" s="77">
        <v>0</v>
      </c>
      <c r="Y64" s="77">
        <v>0</v>
      </c>
      <c r="Z64" s="78" t="s">
        <v>41</v>
      </c>
      <c r="AA64" s="348">
        <f>ROUNDUP(bhpc_data!$AI64/bhpc_data[[#This Row],[units_per_carton]],0)</f>
        <v>0</v>
      </c>
      <c r="AB64" s="348">
        <f>bhpc_data!$AJ64/bhpc_data[[#This Row],[units_per_carton]]</f>
        <v>0</v>
      </c>
      <c r="AC64" s="348">
        <f>(bhpc_data[[#This Row],[net_weight]]/bhpc_data[[#This Row],[units_per_carton]])*bhpc_data!$AK64*bhpc_data[[#This Row],[product1_weight]]</f>
        <v>0</v>
      </c>
      <c r="AD64" s="348">
        <f>(bhpc_data[[#This Row],[net_weight]]/bhpc_data[[#This Row],[units_per_carton]])*bhpc_data!$AK64*bhpc_data[[#This Row],[product2_weight]]</f>
        <v>0</v>
      </c>
      <c r="AE64" s="348">
        <f>(bhpc_data[[#This Row],[gross_weight]]/bhpc_data[[#This Row],[units_per_carton]])*bhpc_data!$AK64*bhpc_data[[#This Row],[product1_weight]]</f>
        <v>0</v>
      </c>
      <c r="AF64" s="348">
        <f>(bhpc_data[[#This Row],[gross_weight]]/bhpc_data[[#This Row],[units_per_carton]])*bhpc_data!$AK64*bhpc_data[[#This Row],[product2_weight]]</f>
        <v>0</v>
      </c>
      <c r="AG64" s="348">
        <f>(bhpc_data[[#This Row],[lenght]]*bhpc_data[[#This Row],[width]]*bhpc_data[[#This Row],[height]])/1000000000*bhpc_data!$AK64/bhpc_data[[#This Row],[units_per_carton]]*bhpc_data[[#This Row],[product1_weight]]</f>
        <v>0</v>
      </c>
      <c r="AH64" s="348">
        <f>(bhpc_data[[#This Row],[lenght]]*bhpc_data[[#This Row],[width]]*bhpc_data[[#This Row],[height]])/1000000000*bhpc_data!$AK64/bhpc_data[[#This Row],[units_per_carton]]*bhpc_data[[#This Row],[product2_weight]]</f>
        <v>0</v>
      </c>
      <c r="AI64" s="349">
        <f>SUMIF(productsSku,bhpc_data[[#This Row],[sku]],productsQty)+SUMIF(productsSku,bhpc_data[[#This Row],[sku]],productsDiscQty)</f>
        <v>0</v>
      </c>
      <c r="AJ64" s="349">
        <f>SUMIF(productsSku,bhpc_data[[#This Row],[sku]],productsFocQty)</f>
        <v>0</v>
      </c>
      <c r="AK64" s="350">
        <f>bhpc_data!$AI64+bhpc_data!$AJ64</f>
        <v>0</v>
      </c>
      <c r="AL64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4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4" s="551">
        <f>IF(bhpc_data[[#This Row],[hs_code]]="","",IF(bhpc_data[[#This Row],[hs_code]]="33030090",bhpc_data[[#This Row],[tot_order]]/bhpc_data[[#This Row],[units_per_carton]]*bhpc_data[[#This Row],[net_weight]],0))</f>
        <v>0</v>
      </c>
      <c r="AO64" s="568">
        <f>IFERROR(bhpc_data[[#This Row],[tot_order]]/bhpc_data[[#This Row],[units_per_carton]]/bhpc_data[[#This Row],[box_per_europallet]],"")</f>
        <v>0</v>
      </c>
      <c r="AP64" s="568">
        <f>IFERROR(bhpc_data[[#This Row],[tot_order]]/bhpc_data[[#This Row],[units_per_carton]]/bhpc_data[[#This Row],[box_per_pallet]],"")</f>
        <v>0</v>
      </c>
      <c r="AQ64" s="581">
        <f>IFERROR(ROUNDUP(bhpc_data[[#This Row],[pallet_euro]],0),"")</f>
        <v>0</v>
      </c>
      <c r="AR64" s="581">
        <f>IFERROR(ROUNDUP(bhpc_data[[#This Row],[pallet]],0),"")</f>
        <v>0</v>
      </c>
    </row>
    <row r="65" spans="1:48">
      <c r="A65" s="77" t="s">
        <v>138</v>
      </c>
      <c r="B65" s="77" t="s">
        <v>128</v>
      </c>
      <c r="C65" s="77">
        <v>1</v>
      </c>
      <c r="D65" s="77" t="s">
        <v>49</v>
      </c>
      <c r="E65" s="79">
        <v>6291107160818</v>
      </c>
      <c r="F65" s="591" t="s">
        <v>75</v>
      </c>
      <c r="G65" s="77" t="s">
        <v>139</v>
      </c>
      <c r="H65" s="78" t="s">
        <v>77</v>
      </c>
      <c r="I65" s="559">
        <v>24</v>
      </c>
      <c r="J65" s="559">
        <v>48</v>
      </c>
      <c r="K65" s="559">
        <v>8</v>
      </c>
      <c r="L65" s="559">
        <v>6</v>
      </c>
      <c r="M65" s="566">
        <v>60</v>
      </c>
      <c r="N65" s="77">
        <v>375</v>
      </c>
      <c r="O65" s="77">
        <v>275</v>
      </c>
      <c r="P65" s="77">
        <v>170</v>
      </c>
      <c r="Q65" s="77">
        <v>9.1199999999999992</v>
      </c>
      <c r="R65" s="77">
        <v>9.5</v>
      </c>
      <c r="S65" s="77">
        <v>100</v>
      </c>
      <c r="T65" s="77">
        <v>0</v>
      </c>
      <c r="U65" s="77">
        <v>0</v>
      </c>
      <c r="V65" s="77">
        <v>1</v>
      </c>
      <c r="W65" s="77">
        <v>0</v>
      </c>
      <c r="X65" s="77">
        <v>0</v>
      </c>
      <c r="Y65" s="77">
        <v>0</v>
      </c>
      <c r="Z65" s="78" t="s">
        <v>41</v>
      </c>
      <c r="AA65" s="351">
        <f>ROUNDUP(bhpc_data!$AI65/bhpc_data[[#This Row],[units_per_carton]],0)</f>
        <v>0</v>
      </c>
      <c r="AB65" s="351">
        <f>bhpc_data!$AJ65/bhpc_data[[#This Row],[units_per_carton]]</f>
        <v>0</v>
      </c>
      <c r="AC65" s="351">
        <f>(bhpc_data[[#This Row],[net_weight]]/bhpc_data[[#This Row],[units_per_carton]])*bhpc_data!$AK65*bhpc_data[[#This Row],[product1_weight]]</f>
        <v>0</v>
      </c>
      <c r="AD65" s="351">
        <f>(bhpc_data[[#This Row],[net_weight]]/bhpc_data[[#This Row],[units_per_carton]])*bhpc_data!$AK65*bhpc_data[[#This Row],[product2_weight]]</f>
        <v>0</v>
      </c>
      <c r="AE65" s="351">
        <f>(bhpc_data[[#This Row],[gross_weight]]/bhpc_data[[#This Row],[units_per_carton]])*bhpc_data!$AK65*bhpc_data[[#This Row],[product1_weight]]</f>
        <v>0</v>
      </c>
      <c r="AF65" s="351">
        <f>(bhpc_data[[#This Row],[gross_weight]]/bhpc_data[[#This Row],[units_per_carton]])*bhpc_data!$AK65*bhpc_data[[#This Row],[product2_weight]]</f>
        <v>0</v>
      </c>
      <c r="AG65" s="351">
        <f>(bhpc_data[[#This Row],[lenght]]*bhpc_data[[#This Row],[width]]*bhpc_data[[#This Row],[height]])/1000000000*bhpc_data!$AK65/bhpc_data[[#This Row],[units_per_carton]]*bhpc_data[[#This Row],[product1_weight]]</f>
        <v>0</v>
      </c>
      <c r="AH65" s="351">
        <f>(bhpc_data[[#This Row],[lenght]]*bhpc_data[[#This Row],[width]]*bhpc_data[[#This Row],[height]])/1000000000*bhpc_data!$AK65/bhpc_data[[#This Row],[units_per_carton]]*bhpc_data[[#This Row],[product2_weight]]</f>
        <v>0</v>
      </c>
      <c r="AI65" s="352">
        <f>SUMIF(productsSku,bhpc_data[[#This Row],[sku]],productsQty)+SUMIF(productsSku,bhpc_data[[#This Row],[sku]],productsDiscQty)</f>
        <v>0</v>
      </c>
      <c r="AJ65" s="352">
        <f>SUMIF(productsSku,bhpc_data[[#This Row],[sku]],productsFocQty)</f>
        <v>0</v>
      </c>
      <c r="AK65" s="353">
        <f>bhpc_data!$AI65+bhpc_data!$AJ65</f>
        <v>0</v>
      </c>
      <c r="AL65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5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5" s="551">
        <f>IF(bhpc_data[[#This Row],[hs_code]]="","",IF(bhpc_data[[#This Row],[hs_code]]="33030090",bhpc_data[[#This Row],[tot_order]]/bhpc_data[[#This Row],[units_per_carton]]*bhpc_data[[#This Row],[net_weight]],0))</f>
        <v>0</v>
      </c>
      <c r="AO65" s="568">
        <f>IFERROR(bhpc_data[[#This Row],[tot_order]]/bhpc_data[[#This Row],[units_per_carton]]/bhpc_data[[#This Row],[box_per_europallet]],"")</f>
        <v>0</v>
      </c>
      <c r="AP65" s="568">
        <f>IFERROR(bhpc_data[[#This Row],[tot_order]]/bhpc_data[[#This Row],[units_per_carton]]/bhpc_data[[#This Row],[box_per_pallet]],"")</f>
        <v>0</v>
      </c>
      <c r="AQ65" s="581">
        <f>IFERROR(ROUNDUP(bhpc_data[[#This Row],[pallet_euro]],0),"")</f>
        <v>0</v>
      </c>
      <c r="AR65" s="581">
        <f>IFERROR(ROUNDUP(bhpc_data[[#This Row],[pallet]],0),"")</f>
        <v>0</v>
      </c>
    </row>
    <row r="66" spans="1:48">
      <c r="A66" s="77" t="s">
        <v>140</v>
      </c>
      <c r="B66" s="77" t="s">
        <v>128</v>
      </c>
      <c r="C66" s="77">
        <v>1</v>
      </c>
      <c r="D66" s="77" t="s">
        <v>49</v>
      </c>
      <c r="E66" s="79">
        <v>6291107162171</v>
      </c>
      <c r="F66" s="591" t="s">
        <v>75</v>
      </c>
      <c r="G66" s="77" t="s">
        <v>141</v>
      </c>
      <c r="H66" s="78" t="s">
        <v>77</v>
      </c>
      <c r="I66" s="559">
        <v>24</v>
      </c>
      <c r="J66" s="559">
        <v>48</v>
      </c>
      <c r="K66" s="559">
        <v>8</v>
      </c>
      <c r="L66" s="559">
        <v>6</v>
      </c>
      <c r="M66" s="566">
        <v>60</v>
      </c>
      <c r="N66" s="77">
        <v>375</v>
      </c>
      <c r="O66" s="77">
        <v>275</v>
      </c>
      <c r="P66" s="77">
        <v>170</v>
      </c>
      <c r="Q66" s="77">
        <v>9.1199999999999992</v>
      </c>
      <c r="R66" s="77">
        <v>9.5</v>
      </c>
      <c r="S66" s="77">
        <v>100</v>
      </c>
      <c r="T66" s="77">
        <v>0</v>
      </c>
      <c r="U66" s="77">
        <v>0</v>
      </c>
      <c r="V66" s="77">
        <v>1</v>
      </c>
      <c r="W66" s="77">
        <v>0</v>
      </c>
      <c r="X66" s="77">
        <v>0</v>
      </c>
      <c r="Y66" s="77">
        <v>0</v>
      </c>
      <c r="Z66" s="78" t="s">
        <v>41</v>
      </c>
      <c r="AA66" s="348">
        <f>ROUNDUP(bhpc_data!$AI66/bhpc_data[[#This Row],[units_per_carton]],0)</f>
        <v>0</v>
      </c>
      <c r="AB66" s="348">
        <f>bhpc_data!$AJ66/bhpc_data[[#This Row],[units_per_carton]]</f>
        <v>0</v>
      </c>
      <c r="AC66" s="348">
        <f>(bhpc_data[[#This Row],[net_weight]]/bhpc_data[[#This Row],[units_per_carton]])*bhpc_data!$AK66*bhpc_data[[#This Row],[product1_weight]]</f>
        <v>0</v>
      </c>
      <c r="AD66" s="348">
        <f>(bhpc_data[[#This Row],[net_weight]]/bhpc_data[[#This Row],[units_per_carton]])*bhpc_data!$AK66*bhpc_data[[#This Row],[product2_weight]]</f>
        <v>0</v>
      </c>
      <c r="AE66" s="348">
        <f>(bhpc_data[[#This Row],[gross_weight]]/bhpc_data[[#This Row],[units_per_carton]])*bhpc_data!$AK66*bhpc_data[[#This Row],[product1_weight]]</f>
        <v>0</v>
      </c>
      <c r="AF66" s="348">
        <f>(bhpc_data[[#This Row],[gross_weight]]/bhpc_data[[#This Row],[units_per_carton]])*bhpc_data!$AK66*bhpc_data[[#This Row],[product2_weight]]</f>
        <v>0</v>
      </c>
      <c r="AG66" s="348">
        <f>(bhpc_data[[#This Row],[lenght]]*bhpc_data[[#This Row],[width]]*bhpc_data[[#This Row],[height]])/1000000000*bhpc_data!$AK66/bhpc_data[[#This Row],[units_per_carton]]*bhpc_data[[#This Row],[product1_weight]]</f>
        <v>0</v>
      </c>
      <c r="AH66" s="348">
        <f>(bhpc_data[[#This Row],[lenght]]*bhpc_data[[#This Row],[width]]*bhpc_data[[#This Row],[height]])/1000000000*bhpc_data!$AK66/bhpc_data[[#This Row],[units_per_carton]]*bhpc_data[[#This Row],[product2_weight]]</f>
        <v>0</v>
      </c>
      <c r="AI66" s="349">
        <f>SUMIF(productsSku,bhpc_data[[#This Row],[sku]],productsQty)+SUMIF(productsSku,bhpc_data[[#This Row],[sku]],productsDiscQty)</f>
        <v>0</v>
      </c>
      <c r="AJ66" s="349">
        <f>SUMIF(productsSku,bhpc_data[[#This Row],[sku]],productsFocQty)</f>
        <v>0</v>
      </c>
      <c r="AK66" s="350">
        <f>bhpc_data!$AI66+bhpc_data!$AJ66</f>
        <v>0</v>
      </c>
      <c r="AL66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6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6" s="551">
        <f>IF(bhpc_data[[#This Row],[hs_code]]="","",IF(bhpc_data[[#This Row],[hs_code]]="33030090",bhpc_data[[#This Row],[tot_order]]/bhpc_data[[#This Row],[units_per_carton]]*bhpc_data[[#This Row],[net_weight]],0))</f>
        <v>0</v>
      </c>
      <c r="AO66" s="568">
        <f>IFERROR(bhpc_data[[#This Row],[tot_order]]/bhpc_data[[#This Row],[units_per_carton]]/bhpc_data[[#This Row],[box_per_europallet]],"")</f>
        <v>0</v>
      </c>
      <c r="AP66" s="568">
        <f>IFERROR(bhpc_data[[#This Row],[tot_order]]/bhpc_data[[#This Row],[units_per_carton]]/bhpc_data[[#This Row],[box_per_pallet]],"")</f>
        <v>0</v>
      </c>
      <c r="AQ66" s="581">
        <f>IFERROR(ROUNDUP(bhpc_data[[#This Row],[pallet_euro]],0),"")</f>
        <v>0</v>
      </c>
      <c r="AR66" s="581">
        <f>IFERROR(ROUNDUP(bhpc_data[[#This Row],[pallet]],0),"")</f>
        <v>0</v>
      </c>
    </row>
    <row r="67" spans="1:48">
      <c r="A67" s="77" t="s">
        <v>142</v>
      </c>
      <c r="B67" s="77" t="s">
        <v>128</v>
      </c>
      <c r="C67" s="77">
        <v>1</v>
      </c>
      <c r="D67" s="77" t="s">
        <v>49</v>
      </c>
      <c r="E67" s="79">
        <v>6291107162188</v>
      </c>
      <c r="F67" s="591" t="s">
        <v>75</v>
      </c>
      <c r="G67" s="77" t="s">
        <v>143</v>
      </c>
      <c r="H67" s="78" t="s">
        <v>77</v>
      </c>
      <c r="I67" s="559">
        <v>24</v>
      </c>
      <c r="J67" s="559">
        <v>48</v>
      </c>
      <c r="K67" s="559">
        <v>8</v>
      </c>
      <c r="L67" s="559">
        <v>6</v>
      </c>
      <c r="M67" s="566">
        <v>60</v>
      </c>
      <c r="N67" s="77">
        <v>375</v>
      </c>
      <c r="O67" s="77">
        <v>275</v>
      </c>
      <c r="P67" s="77">
        <v>170</v>
      </c>
      <c r="Q67" s="77">
        <v>9.1199999999999992</v>
      </c>
      <c r="R67" s="77">
        <v>9.5</v>
      </c>
      <c r="S67" s="77">
        <v>100</v>
      </c>
      <c r="T67" s="77">
        <v>0</v>
      </c>
      <c r="U67" s="77">
        <v>0</v>
      </c>
      <c r="V67" s="77">
        <v>1</v>
      </c>
      <c r="W67" s="77">
        <v>0</v>
      </c>
      <c r="X67" s="77">
        <v>0</v>
      </c>
      <c r="Y67" s="77">
        <v>0</v>
      </c>
      <c r="Z67" s="78" t="s">
        <v>41</v>
      </c>
      <c r="AA67" s="351">
        <f>ROUNDUP(bhpc_data!$AI67/bhpc_data[[#This Row],[units_per_carton]],0)</f>
        <v>0</v>
      </c>
      <c r="AB67" s="351">
        <f>bhpc_data!$AJ67/bhpc_data[[#This Row],[units_per_carton]]</f>
        <v>0</v>
      </c>
      <c r="AC67" s="351">
        <f>(bhpc_data[[#This Row],[net_weight]]/bhpc_data[[#This Row],[units_per_carton]])*bhpc_data!$AK67*bhpc_data[[#This Row],[product1_weight]]</f>
        <v>0</v>
      </c>
      <c r="AD67" s="351">
        <f>(bhpc_data[[#This Row],[net_weight]]/bhpc_data[[#This Row],[units_per_carton]])*bhpc_data!$AK67*bhpc_data[[#This Row],[product2_weight]]</f>
        <v>0</v>
      </c>
      <c r="AE67" s="351">
        <f>(bhpc_data[[#This Row],[gross_weight]]/bhpc_data[[#This Row],[units_per_carton]])*bhpc_data!$AK67*bhpc_data[[#This Row],[product1_weight]]</f>
        <v>0</v>
      </c>
      <c r="AF67" s="351">
        <f>(bhpc_data[[#This Row],[gross_weight]]/bhpc_data[[#This Row],[units_per_carton]])*bhpc_data!$AK67*bhpc_data[[#This Row],[product2_weight]]</f>
        <v>0</v>
      </c>
      <c r="AG67" s="351">
        <f>(bhpc_data[[#This Row],[lenght]]*bhpc_data[[#This Row],[width]]*bhpc_data[[#This Row],[height]])/1000000000*bhpc_data!$AK67/bhpc_data[[#This Row],[units_per_carton]]*bhpc_data[[#This Row],[product1_weight]]</f>
        <v>0</v>
      </c>
      <c r="AH67" s="351">
        <f>(bhpc_data[[#This Row],[lenght]]*bhpc_data[[#This Row],[width]]*bhpc_data[[#This Row],[height]])/1000000000*bhpc_data!$AK67/bhpc_data[[#This Row],[units_per_carton]]*bhpc_data[[#This Row],[product2_weight]]</f>
        <v>0</v>
      </c>
      <c r="AI67" s="352">
        <f>SUMIF(productsSku,bhpc_data[[#This Row],[sku]],productsQty)+SUMIF(productsSku,bhpc_data[[#This Row],[sku]],productsDiscQty)</f>
        <v>0</v>
      </c>
      <c r="AJ67" s="352">
        <f>SUMIF(productsSku,bhpc_data[[#This Row],[sku]],productsFocQty)</f>
        <v>0</v>
      </c>
      <c r="AK67" s="353">
        <f>bhpc_data!$AI67+bhpc_data!$AJ67</f>
        <v>0</v>
      </c>
      <c r="AL67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7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7" s="551">
        <f>IF(bhpc_data[[#This Row],[hs_code]]="","",IF(bhpc_data[[#This Row],[hs_code]]="33030090",bhpc_data[[#This Row],[tot_order]]/bhpc_data[[#This Row],[units_per_carton]]*bhpc_data[[#This Row],[net_weight]],0))</f>
        <v>0</v>
      </c>
      <c r="AO67" s="568">
        <f>IFERROR(bhpc_data[[#This Row],[tot_order]]/bhpc_data[[#This Row],[units_per_carton]]/bhpc_data[[#This Row],[box_per_europallet]],"")</f>
        <v>0</v>
      </c>
      <c r="AP67" s="568">
        <f>IFERROR(bhpc_data[[#This Row],[tot_order]]/bhpc_data[[#This Row],[units_per_carton]]/bhpc_data[[#This Row],[box_per_pallet]],"")</f>
        <v>0</v>
      </c>
      <c r="AQ67" s="581">
        <f>IFERROR(ROUNDUP(bhpc_data[[#This Row],[pallet_euro]],0),"")</f>
        <v>0</v>
      </c>
      <c r="AR67" s="581">
        <f>IFERROR(ROUNDUP(bhpc_data[[#This Row],[pallet]],0),"")</f>
        <v>0</v>
      </c>
    </row>
    <row r="68" spans="1:48">
      <c r="A68" s="455" t="s">
        <v>895</v>
      </c>
      <c r="B68" s="455" t="s">
        <v>170</v>
      </c>
      <c r="C68" s="455">
        <v>1</v>
      </c>
      <c r="D68" s="455" t="s">
        <v>49</v>
      </c>
      <c r="E68" s="456"/>
      <c r="F68" s="591" t="s">
        <v>171</v>
      </c>
      <c r="G68" s="455" t="s">
        <v>1132</v>
      </c>
      <c r="H68" s="560" t="s">
        <v>173</v>
      </c>
      <c r="I68" s="559">
        <v>24</v>
      </c>
      <c r="J68" s="562"/>
      <c r="K68" s="562">
        <v>11</v>
      </c>
      <c r="L68" s="562"/>
      <c r="M68" s="562"/>
      <c r="N68" s="455">
        <v>350</v>
      </c>
      <c r="O68" s="455">
        <v>235</v>
      </c>
      <c r="P68" s="455">
        <v>195</v>
      </c>
      <c r="Q68" s="455">
        <v>6.5039999999999996</v>
      </c>
      <c r="R68" s="455">
        <v>7.09</v>
      </c>
      <c r="S68" s="77">
        <v>100</v>
      </c>
      <c r="T68" s="77">
        <v>0</v>
      </c>
      <c r="U68" s="77">
        <v>0</v>
      </c>
      <c r="V68" s="77">
        <v>1</v>
      </c>
      <c r="W68" s="77">
        <v>0</v>
      </c>
      <c r="X68" s="77">
        <v>0</v>
      </c>
      <c r="Y68" s="77">
        <v>0</v>
      </c>
      <c r="Z68" s="78" t="s">
        <v>41</v>
      </c>
      <c r="AA68" s="348">
        <f>ROUNDUP(bhpc_data!$AI68/bhpc_data[[#This Row],[units_per_carton]],0)</f>
        <v>0</v>
      </c>
      <c r="AB68" s="348">
        <f>bhpc_data!$AJ68/bhpc_data[[#This Row],[units_per_carton]]</f>
        <v>0</v>
      </c>
      <c r="AC68" s="348">
        <f>(bhpc_data[[#This Row],[net_weight]]/bhpc_data[[#This Row],[units_per_carton]])*bhpc_data!$AK68*bhpc_data[[#This Row],[product1_weight]]</f>
        <v>0</v>
      </c>
      <c r="AD68" s="348">
        <f>(bhpc_data[[#This Row],[net_weight]]/bhpc_data[[#This Row],[units_per_carton]])*bhpc_data!$AK68*bhpc_data[[#This Row],[product2_weight]]</f>
        <v>0</v>
      </c>
      <c r="AE68" s="348">
        <f>(bhpc_data[[#This Row],[gross_weight]]/bhpc_data[[#This Row],[units_per_carton]])*bhpc_data!$AK68*bhpc_data[[#This Row],[product1_weight]]</f>
        <v>0</v>
      </c>
      <c r="AF68" s="348">
        <f>(bhpc_data[[#This Row],[gross_weight]]/bhpc_data[[#This Row],[units_per_carton]])*bhpc_data!$AK68*bhpc_data[[#This Row],[product2_weight]]</f>
        <v>0</v>
      </c>
      <c r="AG68" s="348">
        <f>(bhpc_data[[#This Row],[lenght]]*bhpc_data[[#This Row],[width]]*bhpc_data[[#This Row],[height]])/1000000000*bhpc_data!$AK68/bhpc_data[[#This Row],[units_per_carton]]*bhpc_data[[#This Row],[product1_weight]]</f>
        <v>0</v>
      </c>
      <c r="AH68" s="348">
        <f>(bhpc_data[[#This Row],[lenght]]*bhpc_data[[#This Row],[width]]*bhpc_data[[#This Row],[height]])/1000000000*bhpc_data!$AK68/bhpc_data[[#This Row],[units_per_carton]]*bhpc_data[[#This Row],[product2_weight]]</f>
        <v>0</v>
      </c>
      <c r="AI68" s="349">
        <f>SUMIF(productsSku,bhpc_data[[#This Row],[sku]],productsQty)+SUMIF(productsSku,bhpc_data[[#This Row],[sku]],productsDiscQty)</f>
        <v>0</v>
      </c>
      <c r="AJ68" s="349">
        <f>SUMIF(productsSku,bhpc_data[[#This Row],[sku]],productsFocQty)</f>
        <v>0</v>
      </c>
      <c r="AK68" s="350">
        <f>bhpc_data!$AI68+bhpc_data!$AJ68</f>
        <v>0</v>
      </c>
      <c r="AL68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8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8" s="551">
        <f>IF(bhpc_data[[#This Row],[hs_code]]="","",IF(bhpc_data[[#This Row],[hs_code]]="33030090",bhpc_data[[#This Row],[tot_order]]/bhpc_data[[#This Row],[units_per_carton]]*bhpc_data[[#This Row],[net_weight]],0))</f>
        <v>0</v>
      </c>
      <c r="AO68" s="568" t="str">
        <f>IFERROR(bhpc_data[[#This Row],[tot_order]]/bhpc_data[[#This Row],[units_per_carton]]/bhpc_data[[#This Row],[box_per_europallet]],"")</f>
        <v/>
      </c>
      <c r="AP68" s="568" t="str">
        <f>IFERROR(bhpc_data[[#This Row],[tot_order]]/bhpc_data[[#This Row],[units_per_carton]]/bhpc_data[[#This Row],[box_per_pallet]],"")</f>
        <v/>
      </c>
      <c r="AQ68" s="581" t="str">
        <f>IFERROR(ROUNDUP(bhpc_data[[#This Row],[pallet_euro]],0),"")</f>
        <v/>
      </c>
      <c r="AR68" s="581" t="str">
        <f>IFERROR(ROUNDUP(bhpc_data[[#This Row],[pallet]],0),"")</f>
        <v/>
      </c>
      <c r="AV68" s="77" t="s">
        <v>65</v>
      </c>
    </row>
    <row r="69" spans="1:48">
      <c r="A69" s="455" t="s">
        <v>897</v>
      </c>
      <c r="B69" s="455" t="s">
        <v>170</v>
      </c>
      <c r="C69" s="455">
        <v>1</v>
      </c>
      <c r="D69" s="455" t="s">
        <v>49</v>
      </c>
      <c r="E69" s="456"/>
      <c r="F69" s="591" t="s">
        <v>171</v>
      </c>
      <c r="G69" s="455" t="s">
        <v>1133</v>
      </c>
      <c r="H69" s="560" t="s">
        <v>173</v>
      </c>
      <c r="I69" s="559">
        <v>24</v>
      </c>
      <c r="J69" s="562"/>
      <c r="K69" s="562">
        <v>11</v>
      </c>
      <c r="L69" s="562"/>
      <c r="M69" s="562"/>
      <c r="N69" s="455">
        <v>350</v>
      </c>
      <c r="O69" s="455">
        <v>235</v>
      </c>
      <c r="P69" s="455">
        <v>195</v>
      </c>
      <c r="Q69" s="455">
        <v>6.5039999999999996</v>
      </c>
      <c r="R69" s="455">
        <v>7.09</v>
      </c>
      <c r="S69" s="77">
        <v>100</v>
      </c>
      <c r="T69" s="77">
        <v>0</v>
      </c>
      <c r="U69" s="77">
        <v>0</v>
      </c>
      <c r="V69" s="77">
        <v>1</v>
      </c>
      <c r="W69" s="77">
        <v>0</v>
      </c>
      <c r="X69" s="77">
        <v>0</v>
      </c>
      <c r="Y69" s="77">
        <v>0</v>
      </c>
      <c r="Z69" s="78" t="s">
        <v>41</v>
      </c>
      <c r="AA69" s="351">
        <f>ROUNDUP(bhpc_data!$AI69/bhpc_data[[#This Row],[units_per_carton]],0)</f>
        <v>0</v>
      </c>
      <c r="AB69" s="351">
        <f>bhpc_data!$AJ69/bhpc_data[[#This Row],[units_per_carton]]</f>
        <v>0</v>
      </c>
      <c r="AC69" s="351">
        <f>(bhpc_data[[#This Row],[net_weight]]/bhpc_data[[#This Row],[units_per_carton]])*bhpc_data!$AK69*bhpc_data[[#This Row],[product1_weight]]</f>
        <v>0</v>
      </c>
      <c r="AD69" s="351">
        <f>(bhpc_data[[#This Row],[net_weight]]/bhpc_data[[#This Row],[units_per_carton]])*bhpc_data!$AK69*bhpc_data[[#This Row],[product2_weight]]</f>
        <v>0</v>
      </c>
      <c r="AE69" s="351">
        <f>(bhpc_data[[#This Row],[gross_weight]]/bhpc_data[[#This Row],[units_per_carton]])*bhpc_data!$AK69*bhpc_data[[#This Row],[product1_weight]]</f>
        <v>0</v>
      </c>
      <c r="AF69" s="351">
        <f>(bhpc_data[[#This Row],[gross_weight]]/bhpc_data[[#This Row],[units_per_carton]])*bhpc_data!$AK69*bhpc_data[[#This Row],[product2_weight]]</f>
        <v>0</v>
      </c>
      <c r="AG69" s="351">
        <f>(bhpc_data[[#This Row],[lenght]]*bhpc_data[[#This Row],[width]]*bhpc_data[[#This Row],[height]])/1000000000*bhpc_data!$AK69/bhpc_data[[#This Row],[units_per_carton]]*bhpc_data[[#This Row],[product1_weight]]</f>
        <v>0</v>
      </c>
      <c r="AH69" s="351">
        <f>(bhpc_data[[#This Row],[lenght]]*bhpc_data[[#This Row],[width]]*bhpc_data[[#This Row],[height]])/1000000000*bhpc_data!$AK69/bhpc_data[[#This Row],[units_per_carton]]*bhpc_data[[#This Row],[product2_weight]]</f>
        <v>0</v>
      </c>
      <c r="AI69" s="352">
        <f>SUMIF(productsSku,bhpc_data[[#This Row],[sku]],productsQty)+SUMIF(productsSku,bhpc_data[[#This Row],[sku]],productsDiscQty)</f>
        <v>0</v>
      </c>
      <c r="AJ69" s="352">
        <f>SUMIF(productsSku,bhpc_data[[#This Row],[sku]],productsFocQty)</f>
        <v>0</v>
      </c>
      <c r="AK69" s="353">
        <f>bhpc_data!$AI69+bhpc_data!$AJ69</f>
        <v>0</v>
      </c>
      <c r="AL69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69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69" s="551">
        <f>IF(bhpc_data[[#This Row],[hs_code]]="","",IF(bhpc_data[[#This Row],[hs_code]]="33030090",bhpc_data[[#This Row],[tot_order]]/bhpc_data[[#This Row],[units_per_carton]]*bhpc_data[[#This Row],[net_weight]],0))</f>
        <v>0</v>
      </c>
      <c r="AO69" s="568" t="str">
        <f>IFERROR(bhpc_data[[#This Row],[tot_order]]/bhpc_data[[#This Row],[units_per_carton]]/bhpc_data[[#This Row],[box_per_europallet]],"")</f>
        <v/>
      </c>
      <c r="AP69" s="568" t="str">
        <f>IFERROR(bhpc_data[[#This Row],[tot_order]]/bhpc_data[[#This Row],[units_per_carton]]/bhpc_data[[#This Row],[box_per_pallet]],"")</f>
        <v/>
      </c>
      <c r="AQ69" s="581" t="str">
        <f>IFERROR(ROUNDUP(bhpc_data[[#This Row],[pallet_euro]],0),"")</f>
        <v/>
      </c>
      <c r="AR69" s="581" t="str">
        <f>IFERROR(ROUNDUP(bhpc_data[[#This Row],[pallet]],0),"")</f>
        <v/>
      </c>
      <c r="AV69" s="77" t="s">
        <v>67</v>
      </c>
    </row>
    <row r="70" spans="1:48">
      <c r="A70" s="455" t="s">
        <v>899</v>
      </c>
      <c r="B70" s="455" t="s">
        <v>170</v>
      </c>
      <c r="C70" s="455">
        <v>1</v>
      </c>
      <c r="D70" s="455" t="s">
        <v>49</v>
      </c>
      <c r="E70" s="456"/>
      <c r="F70" s="591" t="s">
        <v>171</v>
      </c>
      <c r="G70" s="455" t="s">
        <v>1134</v>
      </c>
      <c r="H70" s="560" t="s">
        <v>173</v>
      </c>
      <c r="I70" s="559">
        <v>24</v>
      </c>
      <c r="J70" s="562"/>
      <c r="K70" s="562">
        <v>11</v>
      </c>
      <c r="L70" s="562"/>
      <c r="M70" s="562"/>
      <c r="N70" s="455">
        <v>350</v>
      </c>
      <c r="O70" s="455">
        <v>235</v>
      </c>
      <c r="P70" s="455">
        <v>195</v>
      </c>
      <c r="Q70" s="455">
        <v>6.5039999999999996</v>
      </c>
      <c r="R70" s="455">
        <v>7.09</v>
      </c>
      <c r="S70" s="77">
        <v>100</v>
      </c>
      <c r="T70" s="77">
        <v>0</v>
      </c>
      <c r="U70" s="77">
        <v>0</v>
      </c>
      <c r="V70" s="77">
        <v>1</v>
      </c>
      <c r="W70" s="77">
        <v>0</v>
      </c>
      <c r="X70" s="77">
        <v>0</v>
      </c>
      <c r="Y70" s="77">
        <v>0</v>
      </c>
      <c r="Z70" s="78" t="s">
        <v>41</v>
      </c>
      <c r="AA70" s="348">
        <f>ROUNDUP(bhpc_data!$AI70/bhpc_data[[#This Row],[units_per_carton]],0)</f>
        <v>0</v>
      </c>
      <c r="AB70" s="348">
        <f>bhpc_data!$AJ70/bhpc_data[[#This Row],[units_per_carton]]</f>
        <v>0</v>
      </c>
      <c r="AC70" s="348">
        <f>(bhpc_data[[#This Row],[net_weight]]/bhpc_data[[#This Row],[units_per_carton]])*bhpc_data!$AK70*bhpc_data[[#This Row],[product1_weight]]</f>
        <v>0</v>
      </c>
      <c r="AD70" s="348">
        <f>(bhpc_data[[#This Row],[net_weight]]/bhpc_data[[#This Row],[units_per_carton]])*bhpc_data!$AK70*bhpc_data[[#This Row],[product2_weight]]</f>
        <v>0</v>
      </c>
      <c r="AE70" s="348">
        <f>(bhpc_data[[#This Row],[gross_weight]]/bhpc_data[[#This Row],[units_per_carton]])*bhpc_data!$AK70*bhpc_data[[#This Row],[product1_weight]]</f>
        <v>0</v>
      </c>
      <c r="AF70" s="348">
        <f>(bhpc_data[[#This Row],[gross_weight]]/bhpc_data[[#This Row],[units_per_carton]])*bhpc_data!$AK70*bhpc_data[[#This Row],[product2_weight]]</f>
        <v>0</v>
      </c>
      <c r="AG70" s="348">
        <f>(bhpc_data[[#This Row],[lenght]]*bhpc_data[[#This Row],[width]]*bhpc_data[[#This Row],[height]])/1000000000*bhpc_data!$AK70/bhpc_data[[#This Row],[units_per_carton]]*bhpc_data[[#This Row],[product1_weight]]</f>
        <v>0</v>
      </c>
      <c r="AH70" s="348">
        <f>(bhpc_data[[#This Row],[lenght]]*bhpc_data[[#This Row],[width]]*bhpc_data[[#This Row],[height]])/1000000000*bhpc_data!$AK70/bhpc_data[[#This Row],[units_per_carton]]*bhpc_data[[#This Row],[product2_weight]]</f>
        <v>0</v>
      </c>
      <c r="AI70" s="349">
        <f>SUMIF(productsSku,bhpc_data[[#This Row],[sku]],productsQty)+SUMIF(productsSku,bhpc_data[[#This Row],[sku]],productsDiscQty)</f>
        <v>0</v>
      </c>
      <c r="AJ70" s="349">
        <f>SUMIF(productsSku,bhpc_data[[#This Row],[sku]],productsFocQty)</f>
        <v>0</v>
      </c>
      <c r="AK70" s="350">
        <f>bhpc_data!$AI70+bhpc_data!$AJ70</f>
        <v>0</v>
      </c>
      <c r="AL70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0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0" s="551">
        <f>IF(bhpc_data[[#This Row],[hs_code]]="","",IF(bhpc_data[[#This Row],[hs_code]]="33030090",bhpc_data[[#This Row],[tot_order]]/bhpc_data[[#This Row],[units_per_carton]]*bhpc_data[[#This Row],[net_weight]],0))</f>
        <v>0</v>
      </c>
      <c r="AO70" s="568" t="str">
        <f>IFERROR(bhpc_data[[#This Row],[tot_order]]/bhpc_data[[#This Row],[units_per_carton]]/bhpc_data[[#This Row],[box_per_europallet]],"")</f>
        <v/>
      </c>
      <c r="AP70" s="568" t="str">
        <f>IFERROR(bhpc_data[[#This Row],[tot_order]]/bhpc_data[[#This Row],[units_per_carton]]/bhpc_data[[#This Row],[box_per_pallet]],"")</f>
        <v/>
      </c>
      <c r="AQ70" s="581" t="str">
        <f>IFERROR(ROUNDUP(bhpc_data[[#This Row],[pallet_euro]],0),"")</f>
        <v/>
      </c>
      <c r="AR70" s="581" t="str">
        <f>IFERROR(ROUNDUP(bhpc_data[[#This Row],[pallet]],0),"")</f>
        <v/>
      </c>
      <c r="AV70" s="77" t="s">
        <v>69</v>
      </c>
    </row>
    <row r="71" spans="1:48">
      <c r="A71" s="455" t="s">
        <v>901</v>
      </c>
      <c r="B71" s="455" t="s">
        <v>170</v>
      </c>
      <c r="C71" s="455">
        <v>1</v>
      </c>
      <c r="D71" s="455" t="s">
        <v>49</v>
      </c>
      <c r="E71" s="456"/>
      <c r="F71" s="591" t="s">
        <v>171</v>
      </c>
      <c r="G71" s="455" t="s">
        <v>1135</v>
      </c>
      <c r="H71" s="560" t="s">
        <v>173</v>
      </c>
      <c r="I71" s="559">
        <v>24</v>
      </c>
      <c r="J71" s="562"/>
      <c r="K71" s="562">
        <v>11</v>
      </c>
      <c r="L71" s="562"/>
      <c r="M71" s="562"/>
      <c r="N71" s="455">
        <v>350</v>
      </c>
      <c r="O71" s="455">
        <v>235</v>
      </c>
      <c r="P71" s="455">
        <v>195</v>
      </c>
      <c r="Q71" s="455">
        <v>6.5039999999999996</v>
      </c>
      <c r="R71" s="455">
        <v>7.09</v>
      </c>
      <c r="S71" s="77">
        <v>100</v>
      </c>
      <c r="T71" s="77">
        <v>0</v>
      </c>
      <c r="U71" s="77">
        <v>0</v>
      </c>
      <c r="V71" s="77">
        <v>1</v>
      </c>
      <c r="W71" s="77">
        <v>0</v>
      </c>
      <c r="X71" s="77">
        <v>0</v>
      </c>
      <c r="Y71" s="77">
        <v>0</v>
      </c>
      <c r="Z71" s="78" t="s">
        <v>41</v>
      </c>
      <c r="AA71" s="351">
        <f>ROUNDUP(bhpc_data!$AI71/bhpc_data[[#This Row],[units_per_carton]],0)</f>
        <v>0</v>
      </c>
      <c r="AB71" s="351">
        <f>bhpc_data!$AJ71/bhpc_data[[#This Row],[units_per_carton]]</f>
        <v>0</v>
      </c>
      <c r="AC71" s="351">
        <f>(bhpc_data[[#This Row],[net_weight]]/bhpc_data[[#This Row],[units_per_carton]])*bhpc_data!$AK71*bhpc_data[[#This Row],[product1_weight]]</f>
        <v>0</v>
      </c>
      <c r="AD71" s="351">
        <f>(bhpc_data[[#This Row],[net_weight]]/bhpc_data[[#This Row],[units_per_carton]])*bhpc_data!$AK71*bhpc_data[[#This Row],[product2_weight]]</f>
        <v>0</v>
      </c>
      <c r="AE71" s="351">
        <f>(bhpc_data[[#This Row],[gross_weight]]/bhpc_data[[#This Row],[units_per_carton]])*bhpc_data!$AK71*bhpc_data[[#This Row],[product1_weight]]</f>
        <v>0</v>
      </c>
      <c r="AF71" s="351">
        <f>(bhpc_data[[#This Row],[gross_weight]]/bhpc_data[[#This Row],[units_per_carton]])*bhpc_data!$AK71*bhpc_data[[#This Row],[product2_weight]]</f>
        <v>0</v>
      </c>
      <c r="AG71" s="351">
        <f>(bhpc_data[[#This Row],[lenght]]*bhpc_data[[#This Row],[width]]*bhpc_data[[#This Row],[height]])/1000000000*bhpc_data!$AK71/bhpc_data[[#This Row],[units_per_carton]]*bhpc_data[[#This Row],[product1_weight]]</f>
        <v>0</v>
      </c>
      <c r="AH71" s="351">
        <f>(bhpc_data[[#This Row],[lenght]]*bhpc_data[[#This Row],[width]]*bhpc_data[[#This Row],[height]])/1000000000*bhpc_data!$AK71/bhpc_data[[#This Row],[units_per_carton]]*bhpc_data[[#This Row],[product2_weight]]</f>
        <v>0</v>
      </c>
      <c r="AI71" s="352">
        <f>SUMIF(productsSku,bhpc_data[[#This Row],[sku]],productsQty)+SUMIF(productsSku,bhpc_data[[#This Row],[sku]],productsDiscQty)</f>
        <v>0</v>
      </c>
      <c r="AJ71" s="352">
        <f>SUMIF(productsSku,bhpc_data[[#This Row],[sku]],productsFocQty)</f>
        <v>0</v>
      </c>
      <c r="AK71" s="353">
        <f>bhpc_data!$AI71+bhpc_data!$AJ71</f>
        <v>0</v>
      </c>
      <c r="AL71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1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1" s="551">
        <f>IF(bhpc_data[[#This Row],[hs_code]]="","",IF(bhpc_data[[#This Row],[hs_code]]="33030090",bhpc_data[[#This Row],[tot_order]]/bhpc_data[[#This Row],[units_per_carton]]*bhpc_data[[#This Row],[net_weight]],0))</f>
        <v>0</v>
      </c>
      <c r="AO71" s="568" t="str">
        <f>IFERROR(bhpc_data[[#This Row],[tot_order]]/bhpc_data[[#This Row],[units_per_carton]]/bhpc_data[[#This Row],[box_per_europallet]],"")</f>
        <v/>
      </c>
      <c r="AP71" s="568" t="str">
        <f>IFERROR(bhpc_data[[#This Row],[tot_order]]/bhpc_data[[#This Row],[units_per_carton]]/bhpc_data[[#This Row],[box_per_pallet]],"")</f>
        <v/>
      </c>
      <c r="AQ71" s="581" t="str">
        <f>IFERROR(ROUNDUP(bhpc_data[[#This Row],[pallet_euro]],0),"")</f>
        <v/>
      </c>
      <c r="AR71" s="581" t="str">
        <f>IFERROR(ROUNDUP(bhpc_data[[#This Row],[pallet]],0),"")</f>
        <v/>
      </c>
      <c r="AV71" s="77" t="s">
        <v>71</v>
      </c>
    </row>
    <row r="72" spans="1:48">
      <c r="A72" s="455" t="s">
        <v>903</v>
      </c>
      <c r="B72" s="455" t="s">
        <v>170</v>
      </c>
      <c r="C72" s="455">
        <v>1</v>
      </c>
      <c r="D72" s="455" t="s">
        <v>38</v>
      </c>
      <c r="E72" s="456"/>
      <c r="F72" s="591" t="s">
        <v>171</v>
      </c>
      <c r="G72" s="455" t="s">
        <v>1127</v>
      </c>
      <c r="H72" s="560" t="s">
        <v>173</v>
      </c>
      <c r="I72" s="559">
        <v>24</v>
      </c>
      <c r="J72" s="562"/>
      <c r="K72" s="562">
        <v>8</v>
      </c>
      <c r="L72" s="562"/>
      <c r="M72" s="562"/>
      <c r="N72" s="455">
        <v>430</v>
      </c>
      <c r="O72" s="455">
        <v>285</v>
      </c>
      <c r="P72" s="455">
        <v>185</v>
      </c>
      <c r="Q72" s="455">
        <v>6.0960000000000001</v>
      </c>
      <c r="R72" s="455">
        <v>6.8</v>
      </c>
      <c r="S72" s="77">
        <v>100</v>
      </c>
      <c r="T72" s="77">
        <v>0</v>
      </c>
      <c r="U72" s="77">
        <v>0</v>
      </c>
      <c r="V72" s="77">
        <v>1</v>
      </c>
      <c r="W72" s="77">
        <v>0</v>
      </c>
      <c r="X72" s="77">
        <v>0</v>
      </c>
      <c r="Y72" s="77">
        <v>0</v>
      </c>
      <c r="Z72" s="78" t="s">
        <v>41</v>
      </c>
      <c r="AA72" s="348">
        <f>ROUNDUP(bhpc_data!$AI72/bhpc_data[[#This Row],[units_per_carton]],0)</f>
        <v>0</v>
      </c>
      <c r="AB72" s="348">
        <f>bhpc_data!$AJ72/bhpc_data[[#This Row],[units_per_carton]]</f>
        <v>0</v>
      </c>
      <c r="AC72" s="348">
        <f>(bhpc_data[[#This Row],[net_weight]]/bhpc_data[[#This Row],[units_per_carton]])*bhpc_data!$AK72*bhpc_data[[#This Row],[product1_weight]]</f>
        <v>0</v>
      </c>
      <c r="AD72" s="348">
        <f>(bhpc_data[[#This Row],[net_weight]]/bhpc_data[[#This Row],[units_per_carton]])*bhpc_data!$AK72*bhpc_data[[#This Row],[product2_weight]]</f>
        <v>0</v>
      </c>
      <c r="AE72" s="348">
        <f>(bhpc_data[[#This Row],[gross_weight]]/bhpc_data[[#This Row],[units_per_carton]])*bhpc_data!$AK72*bhpc_data[[#This Row],[product1_weight]]</f>
        <v>0</v>
      </c>
      <c r="AF72" s="348">
        <f>(bhpc_data[[#This Row],[gross_weight]]/bhpc_data[[#This Row],[units_per_carton]])*bhpc_data!$AK72*bhpc_data[[#This Row],[product2_weight]]</f>
        <v>0</v>
      </c>
      <c r="AG72" s="348">
        <f>(bhpc_data[[#This Row],[lenght]]*bhpc_data[[#This Row],[width]]*bhpc_data[[#This Row],[height]])/1000000000*bhpc_data!$AK72/bhpc_data[[#This Row],[units_per_carton]]*bhpc_data[[#This Row],[product1_weight]]</f>
        <v>0</v>
      </c>
      <c r="AH72" s="348">
        <f>(bhpc_data[[#This Row],[lenght]]*bhpc_data[[#This Row],[width]]*bhpc_data[[#This Row],[height]])/1000000000*bhpc_data!$AK72/bhpc_data[[#This Row],[units_per_carton]]*bhpc_data[[#This Row],[product2_weight]]</f>
        <v>0</v>
      </c>
      <c r="AI72" s="349">
        <f>SUMIF(productsSku,bhpc_data[[#This Row],[sku]],productsQty)+SUMIF(productsSku,bhpc_data[[#This Row],[sku]],productsDiscQty)</f>
        <v>0</v>
      </c>
      <c r="AJ72" s="349">
        <f>SUMIF(productsSku,bhpc_data[[#This Row],[sku]],productsFocQty)</f>
        <v>0</v>
      </c>
      <c r="AK72" s="350">
        <f>bhpc_data!$AI72+bhpc_data!$AJ72</f>
        <v>0</v>
      </c>
      <c r="AL72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2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2" s="551">
        <f>IF(bhpc_data[[#This Row],[hs_code]]="","",IF(bhpc_data[[#This Row],[hs_code]]="33030090",bhpc_data[[#This Row],[tot_order]]/bhpc_data[[#This Row],[units_per_carton]]*bhpc_data[[#This Row],[net_weight]],0))</f>
        <v>0</v>
      </c>
      <c r="AO72" s="568" t="str">
        <f>IFERROR(bhpc_data[[#This Row],[tot_order]]/bhpc_data[[#This Row],[units_per_carton]]/bhpc_data[[#This Row],[box_per_europallet]],"")</f>
        <v/>
      </c>
      <c r="AP72" s="568" t="str">
        <f>IFERROR(bhpc_data[[#This Row],[tot_order]]/bhpc_data[[#This Row],[units_per_carton]]/bhpc_data[[#This Row],[box_per_pallet]],"")</f>
        <v/>
      </c>
      <c r="AQ72" s="581" t="str">
        <f>IFERROR(ROUNDUP(bhpc_data[[#This Row],[pallet_euro]],0),"")</f>
        <v/>
      </c>
      <c r="AR72" s="581" t="str">
        <f>IFERROR(ROUNDUP(bhpc_data[[#This Row],[pallet]],0),"")</f>
        <v/>
      </c>
      <c r="AV72" s="77" t="s">
        <v>210</v>
      </c>
    </row>
    <row r="73" spans="1:48">
      <c r="A73" s="455" t="s">
        <v>905</v>
      </c>
      <c r="B73" s="455" t="s">
        <v>170</v>
      </c>
      <c r="C73" s="455">
        <v>1</v>
      </c>
      <c r="D73" s="455" t="s">
        <v>38</v>
      </c>
      <c r="E73" s="456"/>
      <c r="F73" s="591" t="s">
        <v>171</v>
      </c>
      <c r="G73" s="455" t="s">
        <v>1129</v>
      </c>
      <c r="H73" s="560" t="s">
        <v>173</v>
      </c>
      <c r="I73" s="559">
        <v>24</v>
      </c>
      <c r="J73" s="562"/>
      <c r="K73" s="562">
        <v>8</v>
      </c>
      <c r="L73" s="562"/>
      <c r="M73" s="562"/>
      <c r="N73" s="455">
        <v>430</v>
      </c>
      <c r="O73" s="455">
        <v>285</v>
      </c>
      <c r="P73" s="455">
        <v>185</v>
      </c>
      <c r="Q73" s="455">
        <v>6.0960000000000001</v>
      </c>
      <c r="R73" s="455">
        <v>6.8</v>
      </c>
      <c r="S73" s="77">
        <v>100</v>
      </c>
      <c r="T73" s="77">
        <v>0</v>
      </c>
      <c r="U73" s="77">
        <v>0</v>
      </c>
      <c r="V73" s="77">
        <v>1</v>
      </c>
      <c r="W73" s="77">
        <v>0</v>
      </c>
      <c r="X73" s="77">
        <v>0</v>
      </c>
      <c r="Y73" s="77">
        <v>0</v>
      </c>
      <c r="Z73" s="78" t="s">
        <v>41</v>
      </c>
      <c r="AA73" s="351">
        <f>ROUNDUP(bhpc_data!$AI73/bhpc_data[[#This Row],[units_per_carton]],0)</f>
        <v>0</v>
      </c>
      <c r="AB73" s="351">
        <f>bhpc_data!$AJ73/bhpc_data[[#This Row],[units_per_carton]]</f>
        <v>0</v>
      </c>
      <c r="AC73" s="351">
        <f>(bhpc_data[[#This Row],[net_weight]]/bhpc_data[[#This Row],[units_per_carton]])*bhpc_data!$AK73*bhpc_data[[#This Row],[product1_weight]]</f>
        <v>0</v>
      </c>
      <c r="AD73" s="351">
        <f>(bhpc_data[[#This Row],[net_weight]]/bhpc_data[[#This Row],[units_per_carton]])*bhpc_data!$AK73*bhpc_data[[#This Row],[product2_weight]]</f>
        <v>0</v>
      </c>
      <c r="AE73" s="351">
        <f>(bhpc_data[[#This Row],[gross_weight]]/bhpc_data[[#This Row],[units_per_carton]])*bhpc_data!$AK73*bhpc_data[[#This Row],[product1_weight]]</f>
        <v>0</v>
      </c>
      <c r="AF73" s="351">
        <f>(bhpc_data[[#This Row],[gross_weight]]/bhpc_data[[#This Row],[units_per_carton]])*bhpc_data!$AK73*bhpc_data[[#This Row],[product2_weight]]</f>
        <v>0</v>
      </c>
      <c r="AG73" s="351">
        <f>(bhpc_data[[#This Row],[lenght]]*bhpc_data[[#This Row],[width]]*bhpc_data[[#This Row],[height]])/1000000000*bhpc_data!$AK73/bhpc_data[[#This Row],[units_per_carton]]*bhpc_data[[#This Row],[product1_weight]]</f>
        <v>0</v>
      </c>
      <c r="AH73" s="351">
        <f>(bhpc_data[[#This Row],[lenght]]*bhpc_data[[#This Row],[width]]*bhpc_data[[#This Row],[height]])/1000000000*bhpc_data!$AK73/bhpc_data[[#This Row],[units_per_carton]]*bhpc_data[[#This Row],[product2_weight]]</f>
        <v>0</v>
      </c>
      <c r="AI73" s="352">
        <f>SUMIF(productsSku,bhpc_data[[#This Row],[sku]],productsQty)+SUMIF(productsSku,bhpc_data[[#This Row],[sku]],productsDiscQty)</f>
        <v>0</v>
      </c>
      <c r="AJ73" s="352">
        <f>SUMIF(productsSku,bhpc_data[[#This Row],[sku]],productsFocQty)</f>
        <v>0</v>
      </c>
      <c r="AK73" s="353">
        <f>bhpc_data!$AI73+bhpc_data!$AJ73</f>
        <v>0</v>
      </c>
      <c r="AL73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3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3" s="551">
        <f>IF(bhpc_data[[#This Row],[hs_code]]="","",IF(bhpc_data[[#This Row],[hs_code]]="33030090",bhpc_data[[#This Row],[tot_order]]/bhpc_data[[#This Row],[units_per_carton]]*bhpc_data[[#This Row],[net_weight]],0))</f>
        <v>0</v>
      </c>
      <c r="AO73" s="568" t="str">
        <f>IFERROR(bhpc_data[[#This Row],[tot_order]]/bhpc_data[[#This Row],[units_per_carton]]/bhpc_data[[#This Row],[box_per_europallet]],"")</f>
        <v/>
      </c>
      <c r="AP73" s="568" t="str">
        <f>IFERROR(bhpc_data[[#This Row],[tot_order]]/bhpc_data[[#This Row],[units_per_carton]]/bhpc_data[[#This Row],[box_per_pallet]],"")</f>
        <v/>
      </c>
      <c r="AQ73" s="581" t="str">
        <f>IFERROR(ROUNDUP(bhpc_data[[#This Row],[pallet_euro]],0),"")</f>
        <v/>
      </c>
      <c r="AR73" s="581" t="str">
        <f>IFERROR(ROUNDUP(bhpc_data[[#This Row],[pallet]],0),"")</f>
        <v/>
      </c>
      <c r="AV73" s="77" t="s">
        <v>212</v>
      </c>
    </row>
    <row r="74" spans="1:48">
      <c r="A74" s="455" t="s">
        <v>907</v>
      </c>
      <c r="B74" s="455" t="s">
        <v>170</v>
      </c>
      <c r="C74" s="455">
        <v>1</v>
      </c>
      <c r="D74" s="455" t="s">
        <v>38</v>
      </c>
      <c r="E74" s="456"/>
      <c r="F74" s="591" t="s">
        <v>171</v>
      </c>
      <c r="G74" s="455" t="s">
        <v>1131</v>
      </c>
      <c r="H74" s="560" t="s">
        <v>173</v>
      </c>
      <c r="I74" s="559">
        <v>24</v>
      </c>
      <c r="J74" s="562"/>
      <c r="K74" s="562">
        <v>8</v>
      </c>
      <c r="L74" s="562"/>
      <c r="M74" s="562"/>
      <c r="N74" s="455">
        <v>430</v>
      </c>
      <c r="O74" s="455">
        <v>285</v>
      </c>
      <c r="P74" s="455">
        <v>185</v>
      </c>
      <c r="Q74" s="455">
        <v>6.0960000000000001</v>
      </c>
      <c r="R74" s="455">
        <v>6.8</v>
      </c>
      <c r="S74" s="77">
        <v>100</v>
      </c>
      <c r="T74" s="77">
        <v>0</v>
      </c>
      <c r="U74" s="77">
        <v>0</v>
      </c>
      <c r="V74" s="77">
        <v>1</v>
      </c>
      <c r="W74" s="77">
        <v>0</v>
      </c>
      <c r="X74" s="77">
        <v>0</v>
      </c>
      <c r="Y74" s="77">
        <v>0</v>
      </c>
      <c r="Z74" s="78" t="s">
        <v>41</v>
      </c>
      <c r="AA74" s="348">
        <f>ROUNDUP(bhpc_data!$AI74/bhpc_data[[#This Row],[units_per_carton]],0)</f>
        <v>0</v>
      </c>
      <c r="AB74" s="348">
        <f>bhpc_data!$AJ74/bhpc_data[[#This Row],[units_per_carton]]</f>
        <v>0</v>
      </c>
      <c r="AC74" s="348">
        <f>(bhpc_data[[#This Row],[net_weight]]/bhpc_data[[#This Row],[units_per_carton]])*bhpc_data!$AK74*bhpc_data[[#This Row],[product1_weight]]</f>
        <v>0</v>
      </c>
      <c r="AD74" s="348">
        <f>(bhpc_data[[#This Row],[net_weight]]/bhpc_data[[#This Row],[units_per_carton]])*bhpc_data!$AK74*bhpc_data[[#This Row],[product2_weight]]</f>
        <v>0</v>
      </c>
      <c r="AE74" s="348">
        <f>(bhpc_data[[#This Row],[gross_weight]]/bhpc_data[[#This Row],[units_per_carton]])*bhpc_data!$AK74*bhpc_data[[#This Row],[product1_weight]]</f>
        <v>0</v>
      </c>
      <c r="AF74" s="348">
        <f>(bhpc_data[[#This Row],[gross_weight]]/bhpc_data[[#This Row],[units_per_carton]])*bhpc_data!$AK74*bhpc_data[[#This Row],[product2_weight]]</f>
        <v>0</v>
      </c>
      <c r="AG74" s="348">
        <f>(bhpc_data[[#This Row],[lenght]]*bhpc_data[[#This Row],[width]]*bhpc_data[[#This Row],[height]])/1000000000*bhpc_data!$AK74/bhpc_data[[#This Row],[units_per_carton]]*bhpc_data[[#This Row],[product1_weight]]</f>
        <v>0</v>
      </c>
      <c r="AH74" s="348">
        <f>(bhpc_data[[#This Row],[lenght]]*bhpc_data[[#This Row],[width]]*bhpc_data[[#This Row],[height]])/1000000000*bhpc_data!$AK74/bhpc_data[[#This Row],[units_per_carton]]*bhpc_data[[#This Row],[product2_weight]]</f>
        <v>0</v>
      </c>
      <c r="AI74" s="349">
        <f>SUMIF(productsSku,bhpc_data[[#This Row],[sku]],productsQty)+SUMIF(productsSku,bhpc_data[[#This Row],[sku]],productsDiscQty)</f>
        <v>0</v>
      </c>
      <c r="AJ74" s="349">
        <f>SUMIF(productsSku,bhpc_data[[#This Row],[sku]],productsFocQty)</f>
        <v>0</v>
      </c>
      <c r="AK74" s="350">
        <f>bhpc_data!$AI74+bhpc_data!$AJ74</f>
        <v>0</v>
      </c>
      <c r="AL74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4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4" s="551">
        <f>IF(bhpc_data[[#This Row],[hs_code]]="","",IF(bhpc_data[[#This Row],[hs_code]]="33030090",bhpc_data[[#This Row],[tot_order]]/bhpc_data[[#This Row],[units_per_carton]]*bhpc_data[[#This Row],[net_weight]],0))</f>
        <v>0</v>
      </c>
      <c r="AO74" s="568" t="str">
        <f>IFERROR(bhpc_data[[#This Row],[tot_order]]/bhpc_data[[#This Row],[units_per_carton]]/bhpc_data[[#This Row],[box_per_europallet]],"")</f>
        <v/>
      </c>
      <c r="AP74" s="568" t="str">
        <f>IFERROR(bhpc_data[[#This Row],[tot_order]]/bhpc_data[[#This Row],[units_per_carton]]/bhpc_data[[#This Row],[box_per_pallet]],"")</f>
        <v/>
      </c>
      <c r="AQ74" s="581" t="str">
        <f>IFERROR(ROUNDUP(bhpc_data[[#This Row],[pallet_euro]],0),"")</f>
        <v/>
      </c>
      <c r="AR74" s="581" t="str">
        <f>IFERROR(ROUNDUP(bhpc_data[[#This Row],[pallet]],0),"")</f>
        <v/>
      </c>
      <c r="AV74" s="77" t="s">
        <v>214</v>
      </c>
    </row>
    <row r="75" spans="1:48">
      <c r="A75" s="455" t="s">
        <v>909</v>
      </c>
      <c r="B75" s="455" t="s">
        <v>170</v>
      </c>
      <c r="C75" s="455">
        <v>1</v>
      </c>
      <c r="D75" s="455" t="s">
        <v>38</v>
      </c>
      <c r="E75" s="456"/>
      <c r="F75" s="591" t="s">
        <v>171</v>
      </c>
      <c r="G75" s="455" t="s">
        <v>1130</v>
      </c>
      <c r="H75" s="560" t="s">
        <v>173</v>
      </c>
      <c r="I75" s="559">
        <v>24</v>
      </c>
      <c r="J75" s="562"/>
      <c r="K75" s="562">
        <v>8</v>
      </c>
      <c r="L75" s="562"/>
      <c r="M75" s="562"/>
      <c r="N75" s="455">
        <v>430</v>
      </c>
      <c r="O75" s="455">
        <v>285</v>
      </c>
      <c r="P75" s="455">
        <v>185</v>
      </c>
      <c r="Q75" s="455">
        <v>6.0960000000000001</v>
      </c>
      <c r="R75" s="455">
        <v>6.8</v>
      </c>
      <c r="S75" s="77">
        <v>100</v>
      </c>
      <c r="T75" s="77">
        <v>0</v>
      </c>
      <c r="U75" s="77">
        <v>0</v>
      </c>
      <c r="V75" s="77">
        <v>1</v>
      </c>
      <c r="W75" s="77">
        <v>0</v>
      </c>
      <c r="X75" s="77">
        <v>0</v>
      </c>
      <c r="Y75" s="77">
        <v>0</v>
      </c>
      <c r="Z75" s="78" t="s">
        <v>41</v>
      </c>
      <c r="AA75" s="351">
        <f>ROUNDUP(bhpc_data!$AI75/bhpc_data[[#This Row],[units_per_carton]],0)</f>
        <v>0</v>
      </c>
      <c r="AB75" s="351">
        <f>bhpc_data!$AJ75/bhpc_data[[#This Row],[units_per_carton]]</f>
        <v>0</v>
      </c>
      <c r="AC75" s="351">
        <f>(bhpc_data[[#This Row],[net_weight]]/bhpc_data[[#This Row],[units_per_carton]])*bhpc_data!$AK75*bhpc_data[[#This Row],[product1_weight]]</f>
        <v>0</v>
      </c>
      <c r="AD75" s="351">
        <f>(bhpc_data[[#This Row],[net_weight]]/bhpc_data[[#This Row],[units_per_carton]])*bhpc_data!$AK75*bhpc_data[[#This Row],[product2_weight]]</f>
        <v>0</v>
      </c>
      <c r="AE75" s="351">
        <f>(bhpc_data[[#This Row],[gross_weight]]/bhpc_data[[#This Row],[units_per_carton]])*bhpc_data!$AK75*bhpc_data[[#This Row],[product1_weight]]</f>
        <v>0</v>
      </c>
      <c r="AF75" s="351">
        <f>(bhpc_data[[#This Row],[gross_weight]]/bhpc_data[[#This Row],[units_per_carton]])*bhpc_data!$AK75*bhpc_data[[#This Row],[product2_weight]]</f>
        <v>0</v>
      </c>
      <c r="AG75" s="351">
        <f>(bhpc_data[[#This Row],[lenght]]*bhpc_data[[#This Row],[width]]*bhpc_data[[#This Row],[height]])/1000000000*bhpc_data!$AK75/bhpc_data[[#This Row],[units_per_carton]]*bhpc_data[[#This Row],[product1_weight]]</f>
        <v>0</v>
      </c>
      <c r="AH75" s="351">
        <f>(bhpc_data[[#This Row],[lenght]]*bhpc_data[[#This Row],[width]]*bhpc_data[[#This Row],[height]])/1000000000*bhpc_data!$AK75/bhpc_data[[#This Row],[units_per_carton]]*bhpc_data[[#This Row],[product2_weight]]</f>
        <v>0</v>
      </c>
      <c r="AI75" s="352">
        <f>SUMIF(productsSku,bhpc_data[[#This Row],[sku]],productsQty)+SUMIF(productsSku,bhpc_data[[#This Row],[sku]],productsDiscQty)</f>
        <v>0</v>
      </c>
      <c r="AJ75" s="352">
        <f>SUMIF(productsSku,bhpc_data[[#This Row],[sku]],productsFocQty)</f>
        <v>0</v>
      </c>
      <c r="AK75" s="353">
        <f>bhpc_data!$AI75+bhpc_data!$AJ75</f>
        <v>0</v>
      </c>
      <c r="AL75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5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5" s="551">
        <f>IF(bhpc_data[[#This Row],[hs_code]]="","",IF(bhpc_data[[#This Row],[hs_code]]="33030090",bhpc_data[[#This Row],[tot_order]]/bhpc_data[[#This Row],[units_per_carton]]*bhpc_data[[#This Row],[net_weight]],0))</f>
        <v>0</v>
      </c>
      <c r="AO75" s="568" t="str">
        <f>IFERROR(bhpc_data[[#This Row],[tot_order]]/bhpc_data[[#This Row],[units_per_carton]]/bhpc_data[[#This Row],[box_per_europallet]],"")</f>
        <v/>
      </c>
      <c r="AP75" s="568" t="str">
        <f>IFERROR(bhpc_data[[#This Row],[tot_order]]/bhpc_data[[#This Row],[units_per_carton]]/bhpc_data[[#This Row],[box_per_pallet]],"")</f>
        <v/>
      </c>
      <c r="AQ75" s="581" t="str">
        <f>IFERROR(ROUNDUP(bhpc_data[[#This Row],[pallet_euro]],0),"")</f>
        <v/>
      </c>
      <c r="AR75" s="581" t="str">
        <f>IFERROR(ROUNDUP(bhpc_data[[#This Row],[pallet]],0),"")</f>
        <v/>
      </c>
      <c r="AV75" s="77" t="s">
        <v>216</v>
      </c>
    </row>
    <row r="76" spans="1:48">
      <c r="A76" s="77" t="s">
        <v>161</v>
      </c>
      <c r="B76" s="77" t="s">
        <v>128</v>
      </c>
      <c r="C76" s="77">
        <v>1</v>
      </c>
      <c r="D76" s="77" t="s">
        <v>38</v>
      </c>
      <c r="E76" s="79">
        <v>6291107168852</v>
      </c>
      <c r="F76" s="591" t="s">
        <v>75</v>
      </c>
      <c r="G76" s="77" t="s">
        <v>162</v>
      </c>
      <c r="H76" s="78" t="s">
        <v>77</v>
      </c>
      <c r="I76" s="559">
        <v>24</v>
      </c>
      <c r="J76" s="583">
        <v>48</v>
      </c>
      <c r="K76" s="583">
        <v>8</v>
      </c>
      <c r="L76" s="583">
        <v>6</v>
      </c>
      <c r="M76" s="583">
        <v>60</v>
      </c>
      <c r="N76" s="77">
        <v>375</v>
      </c>
      <c r="O76" s="77">
        <v>275</v>
      </c>
      <c r="P76" s="77">
        <v>170</v>
      </c>
      <c r="Q76" s="77">
        <v>9.48</v>
      </c>
      <c r="R76" s="77">
        <v>9.9</v>
      </c>
      <c r="S76" s="77">
        <v>100</v>
      </c>
      <c r="T76" s="77">
        <v>0</v>
      </c>
      <c r="U76" s="77">
        <v>0</v>
      </c>
      <c r="V76" s="77">
        <v>1</v>
      </c>
      <c r="W76" s="77">
        <v>0</v>
      </c>
      <c r="X76" s="77">
        <v>0</v>
      </c>
      <c r="Y76" s="77">
        <v>0</v>
      </c>
      <c r="Z76" s="78" t="s">
        <v>41</v>
      </c>
      <c r="AA76" s="348">
        <f>ROUNDUP(bhpc_data!$AI76/bhpc_data[[#This Row],[units_per_carton]],0)</f>
        <v>0</v>
      </c>
      <c r="AB76" s="348">
        <f>bhpc_data!$AJ76/bhpc_data[[#This Row],[units_per_carton]]</f>
        <v>0</v>
      </c>
      <c r="AC76" s="348">
        <f>(bhpc_data[[#This Row],[net_weight]]/bhpc_data[[#This Row],[units_per_carton]])*bhpc_data!$AK76*bhpc_data[[#This Row],[product1_weight]]</f>
        <v>0</v>
      </c>
      <c r="AD76" s="348">
        <f>(bhpc_data[[#This Row],[net_weight]]/bhpc_data[[#This Row],[units_per_carton]])*bhpc_data!$AK76*bhpc_data[[#This Row],[product2_weight]]</f>
        <v>0</v>
      </c>
      <c r="AE76" s="348">
        <f>(bhpc_data[[#This Row],[gross_weight]]/bhpc_data[[#This Row],[units_per_carton]])*bhpc_data!$AK76*bhpc_data[[#This Row],[product1_weight]]</f>
        <v>0</v>
      </c>
      <c r="AF76" s="348">
        <f>(bhpc_data[[#This Row],[gross_weight]]/bhpc_data[[#This Row],[units_per_carton]])*bhpc_data!$AK76*bhpc_data[[#This Row],[product2_weight]]</f>
        <v>0</v>
      </c>
      <c r="AG76" s="348">
        <f>(bhpc_data[[#This Row],[lenght]]*bhpc_data[[#This Row],[width]]*bhpc_data[[#This Row],[height]])/1000000000*bhpc_data!$AK76/bhpc_data[[#This Row],[units_per_carton]]*bhpc_data[[#This Row],[product1_weight]]</f>
        <v>0</v>
      </c>
      <c r="AH76" s="348">
        <f>(bhpc_data[[#This Row],[lenght]]*bhpc_data[[#This Row],[width]]*bhpc_data[[#This Row],[height]])/1000000000*bhpc_data!$AK76/bhpc_data[[#This Row],[units_per_carton]]*bhpc_data[[#This Row],[product2_weight]]</f>
        <v>0</v>
      </c>
      <c r="AI76" s="349">
        <f>SUMIF(productsSku,bhpc_data[[#This Row],[sku]],productsQty)+SUMIF(productsSku,bhpc_data[[#This Row],[sku]],productsDiscQty)</f>
        <v>0</v>
      </c>
      <c r="AJ76" s="349">
        <f>SUMIF(productsSku,bhpc_data[[#This Row],[sku]],productsFocQty)</f>
        <v>0</v>
      </c>
      <c r="AK76" s="350">
        <f>bhpc_data!$AI76+bhpc_data!$AJ76</f>
        <v>0</v>
      </c>
      <c r="AL76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6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6" s="551">
        <f>IF(bhpc_data[[#This Row],[hs_code]]="","",IF(bhpc_data[[#This Row],[hs_code]]="33030090",bhpc_data[[#This Row],[tot_order]]/bhpc_data[[#This Row],[units_per_carton]]*bhpc_data[[#This Row],[net_weight]],0))</f>
        <v>0</v>
      </c>
      <c r="AO76" s="568">
        <f>IFERROR(bhpc_data[[#This Row],[tot_order]]/bhpc_data[[#This Row],[units_per_carton]]/bhpc_data[[#This Row],[box_per_europallet]],"")</f>
        <v>0</v>
      </c>
      <c r="AP76" s="568">
        <f>IFERROR(bhpc_data[[#This Row],[tot_order]]/bhpc_data[[#This Row],[units_per_carton]]/bhpc_data[[#This Row],[box_per_pallet]],"")</f>
        <v>0</v>
      </c>
      <c r="AQ76" s="581">
        <f>IFERROR(ROUNDUP(bhpc_data[[#This Row],[pallet_euro]],0),"")</f>
        <v>0</v>
      </c>
      <c r="AR76" s="581">
        <f>IFERROR(ROUNDUP(bhpc_data[[#This Row],[pallet]],0),"")</f>
        <v>0</v>
      </c>
      <c r="AV76" s="77" t="s">
        <v>218</v>
      </c>
    </row>
    <row r="77" spans="1:48">
      <c r="A77" s="77" t="s">
        <v>163</v>
      </c>
      <c r="B77" s="77" t="s">
        <v>128</v>
      </c>
      <c r="C77" s="77">
        <v>1</v>
      </c>
      <c r="D77" s="77" t="s">
        <v>49</v>
      </c>
      <c r="E77" s="79">
        <v>6291107168869</v>
      </c>
      <c r="F77" s="591" t="s">
        <v>75</v>
      </c>
      <c r="G77" s="77" t="s">
        <v>164</v>
      </c>
      <c r="H77" s="78" t="s">
        <v>77</v>
      </c>
      <c r="I77" s="559">
        <v>24</v>
      </c>
      <c r="J77" s="583">
        <v>48</v>
      </c>
      <c r="K77" s="583">
        <v>8</v>
      </c>
      <c r="L77" s="583">
        <v>6</v>
      </c>
      <c r="M77" s="583">
        <v>60</v>
      </c>
      <c r="N77" s="77">
        <v>375</v>
      </c>
      <c r="O77" s="77">
        <v>275</v>
      </c>
      <c r="P77" s="77">
        <v>170</v>
      </c>
      <c r="Q77" s="77">
        <v>9.48</v>
      </c>
      <c r="R77" s="77">
        <v>9.9</v>
      </c>
      <c r="S77" s="77">
        <v>100</v>
      </c>
      <c r="T77" s="77">
        <v>0</v>
      </c>
      <c r="U77" s="77">
        <v>0</v>
      </c>
      <c r="V77" s="77">
        <v>1</v>
      </c>
      <c r="W77" s="77">
        <v>0</v>
      </c>
      <c r="X77" s="77">
        <v>0</v>
      </c>
      <c r="Y77" s="77">
        <v>0</v>
      </c>
      <c r="Z77" s="78" t="s">
        <v>41</v>
      </c>
      <c r="AA77" s="351">
        <f>ROUNDUP(bhpc_data!$AI77/bhpc_data[[#This Row],[units_per_carton]],0)</f>
        <v>0</v>
      </c>
      <c r="AB77" s="351">
        <f>bhpc_data!$AJ77/bhpc_data[[#This Row],[units_per_carton]]</f>
        <v>0</v>
      </c>
      <c r="AC77" s="351">
        <f>(bhpc_data[[#This Row],[net_weight]]/bhpc_data[[#This Row],[units_per_carton]])*bhpc_data!$AK77*bhpc_data[[#This Row],[product1_weight]]</f>
        <v>0</v>
      </c>
      <c r="AD77" s="351">
        <f>(bhpc_data[[#This Row],[net_weight]]/bhpc_data[[#This Row],[units_per_carton]])*bhpc_data!$AK77*bhpc_data[[#This Row],[product2_weight]]</f>
        <v>0</v>
      </c>
      <c r="AE77" s="351">
        <f>(bhpc_data[[#This Row],[gross_weight]]/bhpc_data[[#This Row],[units_per_carton]])*bhpc_data!$AK77*bhpc_data[[#This Row],[product1_weight]]</f>
        <v>0</v>
      </c>
      <c r="AF77" s="351">
        <f>(bhpc_data[[#This Row],[gross_weight]]/bhpc_data[[#This Row],[units_per_carton]])*bhpc_data!$AK77*bhpc_data[[#This Row],[product2_weight]]</f>
        <v>0</v>
      </c>
      <c r="AG77" s="351">
        <f>(bhpc_data[[#This Row],[lenght]]*bhpc_data[[#This Row],[width]]*bhpc_data[[#This Row],[height]])/1000000000*bhpc_data!$AK77/bhpc_data[[#This Row],[units_per_carton]]*bhpc_data[[#This Row],[product1_weight]]</f>
        <v>0</v>
      </c>
      <c r="AH77" s="351">
        <f>(bhpc_data[[#This Row],[lenght]]*bhpc_data[[#This Row],[width]]*bhpc_data[[#This Row],[height]])/1000000000*bhpc_data!$AK77/bhpc_data[[#This Row],[units_per_carton]]*bhpc_data[[#This Row],[product2_weight]]</f>
        <v>0</v>
      </c>
      <c r="AI77" s="352">
        <f>SUMIF(productsSku,bhpc_data[[#This Row],[sku]],productsQty)+SUMIF(productsSku,bhpc_data[[#This Row],[sku]],productsDiscQty)</f>
        <v>0</v>
      </c>
      <c r="AJ77" s="352">
        <f>SUMIF(productsSku,bhpc_data[[#This Row],[sku]],productsFocQty)</f>
        <v>0</v>
      </c>
      <c r="AK77" s="353">
        <f>bhpc_data!$AI77+bhpc_data!$AJ77</f>
        <v>0</v>
      </c>
      <c r="AL77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7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7" s="551">
        <f>IF(bhpc_data[[#This Row],[hs_code]]="","",IF(bhpc_data[[#This Row],[hs_code]]="33030090",bhpc_data[[#This Row],[tot_order]]/bhpc_data[[#This Row],[units_per_carton]]*bhpc_data[[#This Row],[net_weight]],0))</f>
        <v>0</v>
      </c>
      <c r="AO77" s="568">
        <f>IFERROR(bhpc_data[[#This Row],[tot_order]]/bhpc_data[[#This Row],[units_per_carton]]/bhpc_data[[#This Row],[box_per_europallet]],"")</f>
        <v>0</v>
      </c>
      <c r="AP77" s="568">
        <f>IFERROR(bhpc_data[[#This Row],[tot_order]]/bhpc_data[[#This Row],[units_per_carton]]/bhpc_data[[#This Row],[box_per_pallet]],"")</f>
        <v>0</v>
      </c>
      <c r="AQ77" s="581">
        <f>IFERROR(ROUNDUP(bhpc_data[[#This Row],[pallet_euro]],0),"")</f>
        <v>0</v>
      </c>
      <c r="AR77" s="581">
        <f>IFERROR(ROUNDUP(bhpc_data[[#This Row],[pallet]],0),"")</f>
        <v>0</v>
      </c>
      <c r="AV77" s="77" t="s">
        <v>220</v>
      </c>
    </row>
    <row r="78" spans="1:48">
      <c r="A78" s="77" t="s">
        <v>201</v>
      </c>
      <c r="B78" s="77" t="s">
        <v>202</v>
      </c>
      <c r="C78" s="77">
        <v>1</v>
      </c>
      <c r="D78" s="77" t="s">
        <v>38</v>
      </c>
      <c r="E78" s="79"/>
      <c r="G78" s="77" t="s">
        <v>203</v>
      </c>
      <c r="I78" s="559">
        <v>48</v>
      </c>
      <c r="AA78" s="348">
        <f>ROUNDUP(bhpc_data!$AI78/bhpc_data[[#This Row],[units_per_carton]],0)</f>
        <v>0</v>
      </c>
      <c r="AB78" s="348">
        <f>bhpc_data!$AJ78/bhpc_data[[#This Row],[units_per_carton]]</f>
        <v>0</v>
      </c>
      <c r="AC78" s="348">
        <f>(bhpc_data[[#This Row],[net_weight]]/bhpc_data[[#This Row],[units_per_carton]])*bhpc_data!$AK78*bhpc_data[[#This Row],[product1_weight]]</f>
        <v>0</v>
      </c>
      <c r="AD78" s="348">
        <f>(bhpc_data[[#This Row],[net_weight]]/bhpc_data[[#This Row],[units_per_carton]])*bhpc_data!$AK78*bhpc_data[[#This Row],[product2_weight]]</f>
        <v>0</v>
      </c>
      <c r="AE78" s="348">
        <f>(bhpc_data[[#This Row],[gross_weight]]/bhpc_data[[#This Row],[units_per_carton]])*bhpc_data!$AK78*bhpc_data[[#This Row],[product1_weight]]</f>
        <v>0</v>
      </c>
      <c r="AF78" s="348">
        <f>(bhpc_data[[#This Row],[gross_weight]]/bhpc_data[[#This Row],[units_per_carton]])*bhpc_data!$AK78*bhpc_data[[#This Row],[product2_weight]]</f>
        <v>0</v>
      </c>
      <c r="AG78" s="348">
        <f>(bhpc_data[[#This Row],[lenght]]*bhpc_data[[#This Row],[width]]*bhpc_data[[#This Row],[height]])/1000000000*bhpc_data!$AK78/bhpc_data[[#This Row],[units_per_carton]]*bhpc_data[[#This Row],[product1_weight]]</f>
        <v>0</v>
      </c>
      <c r="AH78" s="348">
        <f>(bhpc_data[[#This Row],[lenght]]*bhpc_data[[#This Row],[width]]*bhpc_data[[#This Row],[height]])/1000000000*bhpc_data!$AK78/bhpc_data[[#This Row],[units_per_carton]]*bhpc_data[[#This Row],[product2_weight]]</f>
        <v>0</v>
      </c>
      <c r="AI78" s="349">
        <f>SUMIF(productsSku,bhpc_data[[#This Row],[sku]],productsQty)+SUMIF(productsSku,bhpc_data[[#This Row],[sku]],productsDiscQty)</f>
        <v>0</v>
      </c>
      <c r="AJ78" s="349">
        <f>SUMIF(productsSku,bhpc_data[[#This Row],[sku]],productsFocQty)</f>
        <v>0</v>
      </c>
      <c r="AK78" s="350">
        <f>bhpc_data!$AI78+bhpc_data!$AJ78</f>
        <v>0</v>
      </c>
      <c r="AL78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8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8" s="551" t="str">
        <f>IF(bhpc_data[[#This Row],[hs_code]]="","",IF(bhpc_data[[#This Row],[hs_code]]="33030090",bhpc_data[[#This Row],[tot_order]]/bhpc_data[[#This Row],[units_per_carton]]*bhpc_data[[#This Row],[net_weight]],0))</f>
        <v/>
      </c>
      <c r="AO78" s="568" t="str">
        <f>IFERROR(bhpc_data[[#This Row],[tot_order]]/bhpc_data[[#This Row],[units_per_carton]]/bhpc_data[[#This Row],[box_per_europallet]],"")</f>
        <v/>
      </c>
      <c r="AP78" s="568" t="str">
        <f>IFERROR(bhpc_data[[#This Row],[tot_order]]/bhpc_data[[#This Row],[units_per_carton]]/bhpc_data[[#This Row],[box_per_pallet]],"")</f>
        <v/>
      </c>
      <c r="AQ78" s="581" t="str">
        <f>IFERROR(ROUNDUP(bhpc_data[[#This Row],[pallet_euro]],0),"")</f>
        <v/>
      </c>
      <c r="AR78" s="581" t="str">
        <f>IFERROR(ROUNDUP(bhpc_data[[#This Row],[pallet]],0),"")</f>
        <v/>
      </c>
      <c r="AV78" s="77" t="s">
        <v>108</v>
      </c>
    </row>
    <row r="79" spans="1:48">
      <c r="A79" s="77" t="s">
        <v>204</v>
      </c>
      <c r="B79" s="77" t="s">
        <v>202</v>
      </c>
      <c r="C79" s="77">
        <v>1</v>
      </c>
      <c r="D79" s="77" t="s">
        <v>38</v>
      </c>
      <c r="E79" s="79"/>
      <c r="G79" s="77" t="s">
        <v>205</v>
      </c>
      <c r="I79" s="559">
        <v>48</v>
      </c>
      <c r="AA79" s="351">
        <f>ROUNDUP(bhpc_data!$AI79/bhpc_data[[#This Row],[units_per_carton]],0)</f>
        <v>0</v>
      </c>
      <c r="AB79" s="351">
        <f>bhpc_data!$AJ79/bhpc_data[[#This Row],[units_per_carton]]</f>
        <v>0</v>
      </c>
      <c r="AC79" s="351">
        <f>(bhpc_data[[#This Row],[net_weight]]/bhpc_data[[#This Row],[units_per_carton]])*bhpc_data!$AK79*bhpc_data[[#This Row],[product1_weight]]</f>
        <v>0</v>
      </c>
      <c r="AD79" s="351">
        <f>(bhpc_data[[#This Row],[net_weight]]/bhpc_data[[#This Row],[units_per_carton]])*bhpc_data!$AK79*bhpc_data[[#This Row],[product2_weight]]</f>
        <v>0</v>
      </c>
      <c r="AE79" s="351">
        <f>(bhpc_data[[#This Row],[gross_weight]]/bhpc_data[[#This Row],[units_per_carton]])*bhpc_data!$AK79*bhpc_data[[#This Row],[product1_weight]]</f>
        <v>0</v>
      </c>
      <c r="AF79" s="351">
        <f>(bhpc_data[[#This Row],[gross_weight]]/bhpc_data[[#This Row],[units_per_carton]])*bhpc_data!$AK79*bhpc_data[[#This Row],[product2_weight]]</f>
        <v>0</v>
      </c>
      <c r="AG79" s="351">
        <f>(bhpc_data[[#This Row],[lenght]]*bhpc_data[[#This Row],[width]]*bhpc_data[[#This Row],[height]])/1000000000*bhpc_data!$AK79/bhpc_data[[#This Row],[units_per_carton]]*bhpc_data[[#This Row],[product1_weight]]</f>
        <v>0</v>
      </c>
      <c r="AH79" s="351">
        <f>(bhpc_data[[#This Row],[lenght]]*bhpc_data[[#This Row],[width]]*bhpc_data[[#This Row],[height]])/1000000000*bhpc_data!$AK79/bhpc_data[[#This Row],[units_per_carton]]*bhpc_data[[#This Row],[product2_weight]]</f>
        <v>0</v>
      </c>
      <c r="AI79" s="352">
        <f>SUMIF(productsSku,bhpc_data[[#This Row],[sku]],productsQty)+SUMIF(productsSku,bhpc_data[[#This Row],[sku]],productsDiscQty)</f>
        <v>0</v>
      </c>
      <c r="AJ79" s="352">
        <f>SUMIF(productsSku,bhpc_data[[#This Row],[sku]],productsFocQty)</f>
        <v>0</v>
      </c>
      <c r="AK79" s="353">
        <f>bhpc_data!$AI79+bhpc_data!$AJ79</f>
        <v>0</v>
      </c>
      <c r="AL79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79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79" s="551" t="str">
        <f>IF(bhpc_data[[#This Row],[hs_code]]="","",IF(bhpc_data[[#This Row],[hs_code]]="33030090",bhpc_data[[#This Row],[tot_order]]/bhpc_data[[#This Row],[units_per_carton]]*bhpc_data[[#This Row],[net_weight]],0))</f>
        <v/>
      </c>
      <c r="AO79" s="568" t="str">
        <f>IFERROR(bhpc_data[[#This Row],[tot_order]]/bhpc_data[[#This Row],[units_per_carton]]/bhpc_data[[#This Row],[box_per_europallet]],"")</f>
        <v/>
      </c>
      <c r="AP79" s="568" t="str">
        <f>IFERROR(bhpc_data[[#This Row],[tot_order]]/bhpc_data[[#This Row],[units_per_carton]]/bhpc_data[[#This Row],[box_per_pallet]],"")</f>
        <v/>
      </c>
      <c r="AQ79" s="581" t="str">
        <f>IFERROR(ROUNDUP(bhpc_data[[#This Row],[pallet_euro]],0),"")</f>
        <v/>
      </c>
      <c r="AR79" s="581" t="str">
        <f>IFERROR(ROUNDUP(bhpc_data[[#This Row],[pallet]],0),"")</f>
        <v/>
      </c>
      <c r="AV79" s="77" t="s">
        <v>222</v>
      </c>
    </row>
    <row r="80" spans="1:48">
      <c r="A80" s="77" t="s">
        <v>206</v>
      </c>
      <c r="B80" s="77" t="s">
        <v>202</v>
      </c>
      <c r="C80" s="77">
        <v>1</v>
      </c>
      <c r="D80" s="77" t="s">
        <v>38</v>
      </c>
      <c r="E80" s="79"/>
      <c r="G80" s="77" t="s">
        <v>207</v>
      </c>
      <c r="I80" s="559">
        <v>48</v>
      </c>
      <c r="AA80" s="348">
        <f>ROUNDUP(bhpc_data!$AI80/bhpc_data[[#This Row],[units_per_carton]],0)</f>
        <v>0</v>
      </c>
      <c r="AB80" s="348">
        <f>bhpc_data!$AJ80/bhpc_data[[#This Row],[units_per_carton]]</f>
        <v>0</v>
      </c>
      <c r="AC80" s="348">
        <f>(bhpc_data[[#This Row],[net_weight]]/bhpc_data[[#This Row],[units_per_carton]])*bhpc_data!$AK80*bhpc_data[[#This Row],[product1_weight]]</f>
        <v>0</v>
      </c>
      <c r="AD80" s="348">
        <f>(bhpc_data[[#This Row],[net_weight]]/bhpc_data[[#This Row],[units_per_carton]])*bhpc_data!$AK80*bhpc_data[[#This Row],[product2_weight]]</f>
        <v>0</v>
      </c>
      <c r="AE80" s="348">
        <f>(bhpc_data[[#This Row],[gross_weight]]/bhpc_data[[#This Row],[units_per_carton]])*bhpc_data!$AK80*bhpc_data[[#This Row],[product1_weight]]</f>
        <v>0</v>
      </c>
      <c r="AF80" s="348">
        <f>(bhpc_data[[#This Row],[gross_weight]]/bhpc_data[[#This Row],[units_per_carton]])*bhpc_data!$AK80*bhpc_data[[#This Row],[product2_weight]]</f>
        <v>0</v>
      </c>
      <c r="AG80" s="348">
        <f>(bhpc_data[[#This Row],[lenght]]*bhpc_data[[#This Row],[width]]*bhpc_data[[#This Row],[height]])/1000000000*bhpc_data!$AK80/bhpc_data[[#This Row],[units_per_carton]]*bhpc_data[[#This Row],[product1_weight]]</f>
        <v>0</v>
      </c>
      <c r="AH80" s="348">
        <f>(bhpc_data[[#This Row],[lenght]]*bhpc_data[[#This Row],[width]]*bhpc_data[[#This Row],[height]])/1000000000*bhpc_data!$AK80/bhpc_data[[#This Row],[units_per_carton]]*bhpc_data[[#This Row],[product2_weight]]</f>
        <v>0</v>
      </c>
      <c r="AI80" s="349">
        <f>SUMIF(productsSku,bhpc_data[[#This Row],[sku]],productsQty)+SUMIF(productsSku,bhpc_data[[#This Row],[sku]],productsDiscQty)</f>
        <v>0</v>
      </c>
      <c r="AJ80" s="349">
        <f>SUMIF(productsSku,bhpc_data[[#This Row],[sku]],productsFocQty)</f>
        <v>0</v>
      </c>
      <c r="AK80" s="350">
        <f>bhpc_data!$AI80+bhpc_data!$AJ80</f>
        <v>0</v>
      </c>
      <c r="AL80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0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0" s="551" t="str">
        <f>IF(bhpc_data[[#This Row],[hs_code]]="","",IF(bhpc_data[[#This Row],[hs_code]]="33030090",bhpc_data[[#This Row],[tot_order]]/bhpc_data[[#This Row],[units_per_carton]]*bhpc_data[[#This Row],[net_weight]],0))</f>
        <v/>
      </c>
      <c r="AO80" s="568" t="str">
        <f>IFERROR(bhpc_data[[#This Row],[tot_order]]/bhpc_data[[#This Row],[units_per_carton]]/bhpc_data[[#This Row],[box_per_europallet]],"")</f>
        <v/>
      </c>
      <c r="AP80" s="568" t="str">
        <f>IFERROR(bhpc_data[[#This Row],[tot_order]]/bhpc_data[[#This Row],[units_per_carton]]/bhpc_data[[#This Row],[box_per_pallet]],"")</f>
        <v/>
      </c>
      <c r="AQ80" s="581" t="str">
        <f>IFERROR(ROUNDUP(bhpc_data[[#This Row],[pallet_euro]],0),"")</f>
        <v/>
      </c>
      <c r="AR80" s="581" t="str">
        <f>IFERROR(ROUNDUP(bhpc_data[[#This Row],[pallet]],0),"")</f>
        <v/>
      </c>
      <c r="AV80" s="77" t="s">
        <v>224</v>
      </c>
    </row>
    <row r="81" spans="1:48">
      <c r="A81" s="77" t="s">
        <v>208</v>
      </c>
      <c r="B81" s="77" t="s">
        <v>202</v>
      </c>
      <c r="C81" s="77">
        <v>1</v>
      </c>
      <c r="D81" s="77" t="s">
        <v>38</v>
      </c>
      <c r="E81" s="79"/>
      <c r="G81" s="77" t="s">
        <v>209</v>
      </c>
      <c r="I81" s="559">
        <v>48</v>
      </c>
      <c r="AA81" s="351">
        <f>ROUNDUP(bhpc_data!$AI81/bhpc_data[[#This Row],[units_per_carton]],0)</f>
        <v>0</v>
      </c>
      <c r="AB81" s="351">
        <f>bhpc_data!$AJ81/bhpc_data[[#This Row],[units_per_carton]]</f>
        <v>0</v>
      </c>
      <c r="AC81" s="351">
        <f>(bhpc_data[[#This Row],[net_weight]]/bhpc_data[[#This Row],[units_per_carton]])*bhpc_data!$AK81*bhpc_data[[#This Row],[product1_weight]]</f>
        <v>0</v>
      </c>
      <c r="AD81" s="351">
        <f>(bhpc_data[[#This Row],[net_weight]]/bhpc_data[[#This Row],[units_per_carton]])*bhpc_data!$AK81*bhpc_data[[#This Row],[product2_weight]]</f>
        <v>0</v>
      </c>
      <c r="AE81" s="351">
        <f>(bhpc_data[[#This Row],[gross_weight]]/bhpc_data[[#This Row],[units_per_carton]])*bhpc_data!$AK81*bhpc_data[[#This Row],[product1_weight]]</f>
        <v>0</v>
      </c>
      <c r="AF81" s="351">
        <f>(bhpc_data[[#This Row],[gross_weight]]/bhpc_data[[#This Row],[units_per_carton]])*bhpc_data!$AK81*bhpc_data[[#This Row],[product2_weight]]</f>
        <v>0</v>
      </c>
      <c r="AG81" s="351">
        <f>(bhpc_data[[#This Row],[lenght]]*bhpc_data[[#This Row],[width]]*bhpc_data[[#This Row],[height]])/1000000000*bhpc_data!$AK81/bhpc_data[[#This Row],[units_per_carton]]*bhpc_data[[#This Row],[product1_weight]]</f>
        <v>0</v>
      </c>
      <c r="AH81" s="351">
        <f>(bhpc_data[[#This Row],[lenght]]*bhpc_data[[#This Row],[width]]*bhpc_data[[#This Row],[height]])/1000000000*bhpc_data!$AK81/bhpc_data[[#This Row],[units_per_carton]]*bhpc_data[[#This Row],[product2_weight]]</f>
        <v>0</v>
      </c>
      <c r="AI81" s="352">
        <f>SUMIF(productsSku,bhpc_data[[#This Row],[sku]],productsQty)+SUMIF(productsSku,bhpc_data[[#This Row],[sku]],productsDiscQty)</f>
        <v>0</v>
      </c>
      <c r="AJ81" s="352">
        <f>SUMIF(productsSku,bhpc_data[[#This Row],[sku]],productsFocQty)</f>
        <v>0</v>
      </c>
      <c r="AK81" s="353">
        <f>bhpc_data!$AI81+bhpc_data!$AJ81</f>
        <v>0</v>
      </c>
      <c r="AL81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1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1" s="551" t="str">
        <f>IF(bhpc_data[[#This Row],[hs_code]]="","",IF(bhpc_data[[#This Row],[hs_code]]="33030090",bhpc_data[[#This Row],[tot_order]]/bhpc_data[[#This Row],[units_per_carton]]*bhpc_data[[#This Row],[net_weight]],0))</f>
        <v/>
      </c>
      <c r="AO81" s="568" t="str">
        <f>IFERROR(bhpc_data[[#This Row],[tot_order]]/bhpc_data[[#This Row],[units_per_carton]]/bhpc_data[[#This Row],[box_per_europallet]],"")</f>
        <v/>
      </c>
      <c r="AP81" s="568" t="str">
        <f>IFERROR(bhpc_data[[#This Row],[tot_order]]/bhpc_data[[#This Row],[units_per_carton]]/bhpc_data[[#This Row],[box_per_pallet]],"")</f>
        <v/>
      </c>
      <c r="AQ81" s="581" t="str">
        <f>IFERROR(ROUNDUP(bhpc_data[[#This Row],[pallet_euro]],0),"")</f>
        <v/>
      </c>
      <c r="AR81" s="581" t="str">
        <f>IFERROR(ROUNDUP(bhpc_data[[#This Row],[pallet]],0),"")</f>
        <v/>
      </c>
      <c r="AV81" s="77" t="s">
        <v>226</v>
      </c>
    </row>
    <row r="82" spans="1:48">
      <c r="A82" s="77" t="s">
        <v>188</v>
      </c>
      <c r="B82" s="77" t="s">
        <v>189</v>
      </c>
      <c r="C82" s="77">
        <v>1</v>
      </c>
      <c r="D82" s="77" t="s">
        <v>49</v>
      </c>
      <c r="E82" s="79">
        <v>6291107164236</v>
      </c>
      <c r="F82" s="591" t="s">
        <v>190</v>
      </c>
      <c r="G82" s="77" t="s">
        <v>191</v>
      </c>
      <c r="H82" s="78" t="s">
        <v>77</v>
      </c>
      <c r="I82" s="559">
        <v>24</v>
      </c>
      <c r="J82" s="559">
        <v>64</v>
      </c>
      <c r="K82" s="559">
        <v>8</v>
      </c>
      <c r="L82" s="559">
        <v>8</v>
      </c>
      <c r="N82" s="77">
        <v>330</v>
      </c>
      <c r="O82" s="77">
        <v>210</v>
      </c>
      <c r="P82" s="77">
        <v>230</v>
      </c>
      <c r="Q82" s="77">
        <v>6.35</v>
      </c>
      <c r="R82" s="77">
        <v>7</v>
      </c>
      <c r="S82" s="77">
        <v>200</v>
      </c>
      <c r="T82" s="77">
        <v>0</v>
      </c>
      <c r="U82" s="77">
        <v>0</v>
      </c>
      <c r="V82" s="77">
        <v>1</v>
      </c>
      <c r="W82" s="77">
        <v>0</v>
      </c>
      <c r="X82" s="77">
        <v>0</v>
      </c>
      <c r="Y82" s="77">
        <v>0</v>
      </c>
      <c r="Z82" s="78" t="s">
        <v>192</v>
      </c>
      <c r="AA82" s="348">
        <f>ROUNDUP(bhpc_data!$AI82/bhpc_data[[#This Row],[units_per_carton]],0)</f>
        <v>0</v>
      </c>
      <c r="AB82" s="348">
        <f>bhpc_data!$AJ82/bhpc_data[[#This Row],[units_per_carton]]</f>
        <v>0</v>
      </c>
      <c r="AC82" s="348">
        <f>(bhpc_data[[#This Row],[net_weight]]/bhpc_data[[#This Row],[units_per_carton]])*bhpc_data!$AK82*bhpc_data[[#This Row],[product1_weight]]</f>
        <v>0</v>
      </c>
      <c r="AD82" s="348">
        <f>(bhpc_data[[#This Row],[net_weight]]/bhpc_data[[#This Row],[units_per_carton]])*bhpc_data!$AK82*bhpc_data[[#This Row],[product2_weight]]</f>
        <v>0</v>
      </c>
      <c r="AE82" s="348">
        <f>(bhpc_data[[#This Row],[gross_weight]]/bhpc_data[[#This Row],[units_per_carton]])*bhpc_data!$AK82*bhpc_data[[#This Row],[product1_weight]]</f>
        <v>0</v>
      </c>
      <c r="AF82" s="348">
        <f>(bhpc_data[[#This Row],[gross_weight]]/bhpc_data[[#This Row],[units_per_carton]])*bhpc_data!$AK82*bhpc_data[[#This Row],[product2_weight]]</f>
        <v>0</v>
      </c>
      <c r="AG82" s="348">
        <f>(bhpc_data[[#This Row],[lenght]]*bhpc_data[[#This Row],[width]]*bhpc_data[[#This Row],[height]])/1000000000*bhpc_data!$AK82/bhpc_data[[#This Row],[units_per_carton]]*bhpc_data[[#This Row],[product1_weight]]</f>
        <v>0</v>
      </c>
      <c r="AH82" s="348">
        <f>(bhpc_data[[#This Row],[lenght]]*bhpc_data[[#This Row],[width]]*bhpc_data[[#This Row],[height]])/1000000000*bhpc_data!$AK82/bhpc_data[[#This Row],[units_per_carton]]*bhpc_data[[#This Row],[product2_weight]]</f>
        <v>0</v>
      </c>
      <c r="AI82" s="349">
        <f>SUMIF(productsSku,bhpc_data[[#This Row],[sku]],productsQty)+SUMIF(productsSku,bhpc_data[[#This Row],[sku]],productsDiscQty)</f>
        <v>0</v>
      </c>
      <c r="AJ82" s="349">
        <f>SUMIF(productsSku,bhpc_data[[#This Row],[sku]],productsFocQty)</f>
        <v>0</v>
      </c>
      <c r="AK82" s="350">
        <f>bhpc_data!$AI82+bhpc_data!$AJ82</f>
        <v>0</v>
      </c>
      <c r="AL82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2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2" s="551">
        <f>IF(bhpc_data[[#This Row],[hs_code]]="","",IF(bhpc_data[[#This Row],[hs_code]]="33030090",bhpc_data[[#This Row],[tot_order]]/bhpc_data[[#This Row],[units_per_carton]]*bhpc_data[[#This Row],[net_weight]],0))</f>
        <v>0</v>
      </c>
      <c r="AO82" s="568">
        <f>IFERROR(bhpc_data[[#This Row],[tot_order]]/bhpc_data[[#This Row],[units_per_carton]]/bhpc_data[[#This Row],[box_per_europallet]],"")</f>
        <v>0</v>
      </c>
      <c r="AP82" s="568" t="str">
        <f>IFERROR(bhpc_data[[#This Row],[tot_order]]/bhpc_data[[#This Row],[units_per_carton]]/bhpc_data[[#This Row],[box_per_pallet]],"")</f>
        <v/>
      </c>
      <c r="AQ82" s="581">
        <f>IFERROR(ROUNDUP(bhpc_data[[#This Row],[pallet_euro]],0),"")</f>
        <v>0</v>
      </c>
      <c r="AR82" s="581" t="str">
        <f>IFERROR(ROUNDUP(bhpc_data[[#This Row],[pallet]],0),"")</f>
        <v/>
      </c>
      <c r="AV82" s="77" t="s">
        <v>188</v>
      </c>
    </row>
    <row r="83" spans="1:48">
      <c r="A83" s="77" t="s">
        <v>193</v>
      </c>
      <c r="B83" s="77" t="s">
        <v>189</v>
      </c>
      <c r="C83" s="77">
        <v>1</v>
      </c>
      <c r="D83" s="77" t="s">
        <v>49</v>
      </c>
      <c r="E83" s="79">
        <v>6291107164243</v>
      </c>
      <c r="F83" s="591" t="s">
        <v>190</v>
      </c>
      <c r="G83" s="77" t="s">
        <v>194</v>
      </c>
      <c r="H83" s="78" t="s">
        <v>77</v>
      </c>
      <c r="I83" s="559">
        <v>24</v>
      </c>
      <c r="J83" s="559">
        <v>64</v>
      </c>
      <c r="K83" s="559">
        <v>8</v>
      </c>
      <c r="L83" s="559">
        <v>8</v>
      </c>
      <c r="N83" s="77">
        <v>330</v>
      </c>
      <c r="O83" s="77">
        <v>210</v>
      </c>
      <c r="P83" s="77">
        <v>230</v>
      </c>
      <c r="Q83" s="77">
        <v>6.35</v>
      </c>
      <c r="R83" s="77">
        <v>7</v>
      </c>
      <c r="S83" s="77">
        <v>200</v>
      </c>
      <c r="T83" s="77">
        <v>0</v>
      </c>
      <c r="U83" s="77">
        <v>0</v>
      </c>
      <c r="V83" s="77">
        <v>1</v>
      </c>
      <c r="W83" s="77">
        <v>0</v>
      </c>
      <c r="X83" s="77">
        <v>0</v>
      </c>
      <c r="Y83" s="77">
        <v>0</v>
      </c>
      <c r="Z83" s="78" t="s">
        <v>192</v>
      </c>
      <c r="AA83" s="351">
        <f>ROUNDUP(bhpc_data!$AI83/bhpc_data[[#This Row],[units_per_carton]],0)</f>
        <v>0</v>
      </c>
      <c r="AB83" s="351">
        <f>bhpc_data!$AJ83/bhpc_data[[#This Row],[units_per_carton]]</f>
        <v>0</v>
      </c>
      <c r="AC83" s="351">
        <f>(bhpc_data[[#This Row],[net_weight]]/bhpc_data[[#This Row],[units_per_carton]])*bhpc_data!$AK83*bhpc_data[[#This Row],[product1_weight]]</f>
        <v>0</v>
      </c>
      <c r="AD83" s="351">
        <f>(bhpc_data[[#This Row],[net_weight]]/bhpc_data[[#This Row],[units_per_carton]])*bhpc_data!$AK83*bhpc_data[[#This Row],[product2_weight]]</f>
        <v>0</v>
      </c>
      <c r="AE83" s="351">
        <f>(bhpc_data[[#This Row],[gross_weight]]/bhpc_data[[#This Row],[units_per_carton]])*bhpc_data!$AK83*bhpc_data[[#This Row],[product1_weight]]</f>
        <v>0</v>
      </c>
      <c r="AF83" s="351">
        <f>(bhpc_data[[#This Row],[gross_weight]]/bhpc_data[[#This Row],[units_per_carton]])*bhpc_data!$AK83*bhpc_data[[#This Row],[product2_weight]]</f>
        <v>0</v>
      </c>
      <c r="AG83" s="351">
        <f>(bhpc_data[[#This Row],[lenght]]*bhpc_data[[#This Row],[width]]*bhpc_data[[#This Row],[height]])/1000000000*bhpc_data!$AK83/bhpc_data[[#This Row],[units_per_carton]]*bhpc_data[[#This Row],[product1_weight]]</f>
        <v>0</v>
      </c>
      <c r="AH83" s="351">
        <f>(bhpc_data[[#This Row],[lenght]]*bhpc_data[[#This Row],[width]]*bhpc_data[[#This Row],[height]])/1000000000*bhpc_data!$AK83/bhpc_data[[#This Row],[units_per_carton]]*bhpc_data[[#This Row],[product2_weight]]</f>
        <v>0</v>
      </c>
      <c r="AI83" s="352">
        <f>SUMIF(productsSku,bhpc_data[[#This Row],[sku]],productsQty)+SUMIF(productsSku,bhpc_data[[#This Row],[sku]],productsDiscQty)</f>
        <v>0</v>
      </c>
      <c r="AJ83" s="352">
        <f>SUMIF(productsSku,bhpc_data[[#This Row],[sku]],productsFocQty)</f>
        <v>0</v>
      </c>
      <c r="AK83" s="353">
        <f>bhpc_data!$AI83+bhpc_data!$AJ83</f>
        <v>0</v>
      </c>
      <c r="AL83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3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3" s="551">
        <f>IF(bhpc_data[[#This Row],[hs_code]]="","",IF(bhpc_data[[#This Row],[hs_code]]="33030090",bhpc_data[[#This Row],[tot_order]]/bhpc_data[[#This Row],[units_per_carton]]*bhpc_data[[#This Row],[net_weight]],0))</f>
        <v>0</v>
      </c>
      <c r="AO83" s="568">
        <f>IFERROR(bhpc_data[[#This Row],[tot_order]]/bhpc_data[[#This Row],[units_per_carton]]/bhpc_data[[#This Row],[box_per_europallet]],"")</f>
        <v>0</v>
      </c>
      <c r="AP83" s="568" t="str">
        <f>IFERROR(bhpc_data[[#This Row],[tot_order]]/bhpc_data[[#This Row],[units_per_carton]]/bhpc_data[[#This Row],[box_per_pallet]],"")</f>
        <v/>
      </c>
      <c r="AQ83" s="581">
        <f>IFERROR(ROUNDUP(bhpc_data[[#This Row],[pallet_euro]],0),"")</f>
        <v>0</v>
      </c>
      <c r="AR83" s="581" t="str">
        <f>IFERROR(ROUNDUP(bhpc_data[[#This Row],[pallet]],0),"")</f>
        <v/>
      </c>
      <c r="AV83" s="77" t="s">
        <v>193</v>
      </c>
    </row>
    <row r="84" spans="1:48">
      <c r="A84" s="77" t="s">
        <v>195</v>
      </c>
      <c r="B84" s="77" t="s">
        <v>189</v>
      </c>
      <c r="C84" s="77">
        <v>1</v>
      </c>
      <c r="D84" s="77" t="s">
        <v>49</v>
      </c>
      <c r="E84" s="79">
        <v>6291107164250</v>
      </c>
      <c r="F84" s="591" t="s">
        <v>190</v>
      </c>
      <c r="G84" s="77" t="s">
        <v>196</v>
      </c>
      <c r="H84" s="78" t="s">
        <v>77</v>
      </c>
      <c r="I84" s="559">
        <v>24</v>
      </c>
      <c r="J84" s="559">
        <v>64</v>
      </c>
      <c r="K84" s="559">
        <v>8</v>
      </c>
      <c r="L84" s="559">
        <v>8</v>
      </c>
      <c r="N84" s="77">
        <v>330</v>
      </c>
      <c r="O84" s="77">
        <v>210</v>
      </c>
      <c r="P84" s="77">
        <v>230</v>
      </c>
      <c r="Q84" s="77">
        <v>6.35</v>
      </c>
      <c r="R84" s="77">
        <v>7</v>
      </c>
      <c r="S84" s="77">
        <v>200</v>
      </c>
      <c r="T84" s="77">
        <v>0</v>
      </c>
      <c r="U84" s="77">
        <v>0</v>
      </c>
      <c r="V84" s="77">
        <v>1</v>
      </c>
      <c r="W84" s="77">
        <v>0</v>
      </c>
      <c r="X84" s="77">
        <v>0</v>
      </c>
      <c r="Y84" s="77">
        <v>0</v>
      </c>
      <c r="Z84" s="78" t="s">
        <v>192</v>
      </c>
      <c r="AA84" s="348">
        <f>ROUNDUP(bhpc_data!$AI84/bhpc_data[[#This Row],[units_per_carton]],0)</f>
        <v>0</v>
      </c>
      <c r="AB84" s="348">
        <f>bhpc_data!$AJ84/bhpc_data[[#This Row],[units_per_carton]]</f>
        <v>0</v>
      </c>
      <c r="AC84" s="348">
        <f>(bhpc_data[[#This Row],[net_weight]]/bhpc_data[[#This Row],[units_per_carton]])*bhpc_data!$AK84*bhpc_data[[#This Row],[product1_weight]]</f>
        <v>0</v>
      </c>
      <c r="AD84" s="348">
        <f>(bhpc_data[[#This Row],[net_weight]]/bhpc_data[[#This Row],[units_per_carton]])*bhpc_data!$AK84*bhpc_data[[#This Row],[product2_weight]]</f>
        <v>0</v>
      </c>
      <c r="AE84" s="348">
        <f>(bhpc_data[[#This Row],[gross_weight]]/bhpc_data[[#This Row],[units_per_carton]])*bhpc_data!$AK84*bhpc_data[[#This Row],[product1_weight]]</f>
        <v>0</v>
      </c>
      <c r="AF84" s="348">
        <f>(bhpc_data[[#This Row],[gross_weight]]/bhpc_data[[#This Row],[units_per_carton]])*bhpc_data!$AK84*bhpc_data[[#This Row],[product2_weight]]</f>
        <v>0</v>
      </c>
      <c r="AG84" s="348">
        <f>(bhpc_data[[#This Row],[lenght]]*bhpc_data[[#This Row],[width]]*bhpc_data[[#This Row],[height]])/1000000000*bhpc_data!$AK84/bhpc_data[[#This Row],[units_per_carton]]*bhpc_data[[#This Row],[product1_weight]]</f>
        <v>0</v>
      </c>
      <c r="AH84" s="348">
        <f>(bhpc_data[[#This Row],[lenght]]*bhpc_data[[#This Row],[width]]*bhpc_data[[#This Row],[height]])/1000000000*bhpc_data!$AK84/bhpc_data[[#This Row],[units_per_carton]]*bhpc_data[[#This Row],[product2_weight]]</f>
        <v>0</v>
      </c>
      <c r="AI84" s="349">
        <f>SUMIF(productsSku,bhpc_data[[#This Row],[sku]],productsQty)+SUMIF(productsSku,bhpc_data[[#This Row],[sku]],productsDiscQty)</f>
        <v>0</v>
      </c>
      <c r="AJ84" s="349">
        <f>SUMIF(productsSku,bhpc_data[[#This Row],[sku]],productsFocQty)</f>
        <v>0</v>
      </c>
      <c r="AK84" s="350">
        <f>bhpc_data!$AI84+bhpc_data!$AJ84</f>
        <v>0</v>
      </c>
      <c r="AL84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4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4" s="551">
        <f>IF(bhpc_data[[#This Row],[hs_code]]="","",IF(bhpc_data[[#This Row],[hs_code]]="33030090",bhpc_data[[#This Row],[tot_order]]/bhpc_data[[#This Row],[units_per_carton]]*bhpc_data[[#This Row],[net_weight]],0))</f>
        <v>0</v>
      </c>
      <c r="AO84" s="568">
        <f>IFERROR(bhpc_data[[#This Row],[tot_order]]/bhpc_data[[#This Row],[units_per_carton]]/bhpc_data[[#This Row],[box_per_europallet]],"")</f>
        <v>0</v>
      </c>
      <c r="AP84" s="568" t="str">
        <f>IFERROR(bhpc_data[[#This Row],[tot_order]]/bhpc_data[[#This Row],[units_per_carton]]/bhpc_data[[#This Row],[box_per_pallet]],"")</f>
        <v/>
      </c>
      <c r="AQ84" s="581">
        <f>IFERROR(ROUNDUP(bhpc_data[[#This Row],[pallet_euro]],0),"")</f>
        <v>0</v>
      </c>
      <c r="AR84" s="581" t="str">
        <f>IFERROR(ROUNDUP(bhpc_data[[#This Row],[pallet]],0),"")</f>
        <v/>
      </c>
      <c r="AV84" s="77" t="s">
        <v>195</v>
      </c>
    </row>
    <row r="85" spans="1:48">
      <c r="A85" s="77" t="s">
        <v>197</v>
      </c>
      <c r="B85" s="77" t="s">
        <v>189</v>
      </c>
      <c r="C85" s="77">
        <v>1</v>
      </c>
      <c r="D85" s="77" t="s">
        <v>49</v>
      </c>
      <c r="E85" s="79">
        <v>6291107164267</v>
      </c>
      <c r="F85" s="591" t="s">
        <v>190</v>
      </c>
      <c r="G85" s="77" t="s">
        <v>198</v>
      </c>
      <c r="H85" s="78" t="s">
        <v>77</v>
      </c>
      <c r="I85" s="559">
        <v>24</v>
      </c>
      <c r="J85" s="559">
        <v>64</v>
      </c>
      <c r="K85" s="559">
        <v>8</v>
      </c>
      <c r="L85" s="559">
        <v>8</v>
      </c>
      <c r="N85" s="77">
        <v>330</v>
      </c>
      <c r="O85" s="77">
        <v>210</v>
      </c>
      <c r="P85" s="77">
        <v>230</v>
      </c>
      <c r="Q85" s="77">
        <v>6.35</v>
      </c>
      <c r="R85" s="77">
        <v>7</v>
      </c>
      <c r="S85" s="77">
        <v>200</v>
      </c>
      <c r="T85" s="77">
        <v>0</v>
      </c>
      <c r="U85" s="77">
        <v>0</v>
      </c>
      <c r="V85" s="77">
        <v>1</v>
      </c>
      <c r="W85" s="77">
        <v>0</v>
      </c>
      <c r="X85" s="77">
        <v>0</v>
      </c>
      <c r="Y85" s="77">
        <v>0</v>
      </c>
      <c r="Z85" s="78" t="s">
        <v>192</v>
      </c>
      <c r="AA85" s="351">
        <f>ROUNDUP(bhpc_data!$AI85/bhpc_data[[#This Row],[units_per_carton]],0)</f>
        <v>0</v>
      </c>
      <c r="AB85" s="351">
        <f>bhpc_data!$AJ85/bhpc_data[[#This Row],[units_per_carton]]</f>
        <v>0</v>
      </c>
      <c r="AC85" s="351">
        <f>(bhpc_data[[#This Row],[net_weight]]/bhpc_data[[#This Row],[units_per_carton]])*bhpc_data!$AK85*bhpc_data[[#This Row],[product1_weight]]</f>
        <v>0</v>
      </c>
      <c r="AD85" s="351">
        <f>(bhpc_data[[#This Row],[net_weight]]/bhpc_data[[#This Row],[units_per_carton]])*bhpc_data!$AK85*bhpc_data[[#This Row],[product2_weight]]</f>
        <v>0</v>
      </c>
      <c r="AE85" s="351">
        <f>(bhpc_data[[#This Row],[gross_weight]]/bhpc_data[[#This Row],[units_per_carton]])*bhpc_data!$AK85*bhpc_data[[#This Row],[product1_weight]]</f>
        <v>0</v>
      </c>
      <c r="AF85" s="351">
        <f>(bhpc_data[[#This Row],[gross_weight]]/bhpc_data[[#This Row],[units_per_carton]])*bhpc_data!$AK85*bhpc_data[[#This Row],[product2_weight]]</f>
        <v>0</v>
      </c>
      <c r="AG85" s="351">
        <f>(bhpc_data[[#This Row],[lenght]]*bhpc_data[[#This Row],[width]]*bhpc_data[[#This Row],[height]])/1000000000*bhpc_data!$AK85/bhpc_data[[#This Row],[units_per_carton]]*bhpc_data[[#This Row],[product1_weight]]</f>
        <v>0</v>
      </c>
      <c r="AH85" s="351">
        <f>(bhpc_data[[#This Row],[lenght]]*bhpc_data[[#This Row],[width]]*bhpc_data[[#This Row],[height]])/1000000000*bhpc_data!$AK85/bhpc_data[[#This Row],[units_per_carton]]*bhpc_data[[#This Row],[product2_weight]]</f>
        <v>0</v>
      </c>
      <c r="AI85" s="352">
        <f>SUMIF(productsSku,bhpc_data[[#This Row],[sku]],productsQty)+SUMIF(productsSku,bhpc_data[[#This Row],[sku]],productsDiscQty)</f>
        <v>0</v>
      </c>
      <c r="AJ85" s="352">
        <f>SUMIF(productsSku,bhpc_data[[#This Row],[sku]],productsFocQty)</f>
        <v>0</v>
      </c>
      <c r="AK85" s="353">
        <f>bhpc_data!$AI85+bhpc_data!$AJ85</f>
        <v>0</v>
      </c>
      <c r="AL85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5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5" s="551">
        <f>IF(bhpc_data[[#This Row],[hs_code]]="","",IF(bhpc_data[[#This Row],[hs_code]]="33030090",bhpc_data[[#This Row],[tot_order]]/bhpc_data[[#This Row],[units_per_carton]]*bhpc_data[[#This Row],[net_weight]],0))</f>
        <v>0</v>
      </c>
      <c r="AO85" s="568">
        <f>IFERROR(bhpc_data[[#This Row],[tot_order]]/bhpc_data[[#This Row],[units_per_carton]]/bhpc_data[[#This Row],[box_per_europallet]],"")</f>
        <v>0</v>
      </c>
      <c r="AP85" s="568" t="str">
        <f>IFERROR(bhpc_data[[#This Row],[tot_order]]/bhpc_data[[#This Row],[units_per_carton]]/bhpc_data[[#This Row],[box_per_pallet]],"")</f>
        <v/>
      </c>
      <c r="AQ85" s="581">
        <f>IFERROR(ROUNDUP(bhpc_data[[#This Row],[pallet_euro]],0),"")</f>
        <v>0</v>
      </c>
      <c r="AR85" s="581" t="str">
        <f>IFERROR(ROUNDUP(bhpc_data[[#This Row],[pallet]],0),"")</f>
        <v/>
      </c>
      <c r="AV85" s="77" t="s">
        <v>197</v>
      </c>
    </row>
    <row r="86" spans="1:48">
      <c r="A86" s="77" t="s">
        <v>144</v>
      </c>
      <c r="B86" s="77" t="s">
        <v>145</v>
      </c>
      <c r="C86" s="77">
        <v>1</v>
      </c>
      <c r="D86" s="77" t="s">
        <v>38</v>
      </c>
      <c r="E86" s="79"/>
      <c r="F86" s="591" t="s">
        <v>75</v>
      </c>
      <c r="G86" s="77" t="s">
        <v>146</v>
      </c>
      <c r="H86" s="78" t="s">
        <v>77</v>
      </c>
      <c r="I86" s="559">
        <v>24</v>
      </c>
      <c r="J86" s="559">
        <v>48</v>
      </c>
      <c r="K86" s="559">
        <v>8</v>
      </c>
      <c r="L86" s="559">
        <v>6</v>
      </c>
      <c r="N86" s="77">
        <v>375</v>
      </c>
      <c r="O86" s="77">
        <v>275</v>
      </c>
      <c r="P86" s="77">
        <v>170</v>
      </c>
      <c r="Q86" s="77">
        <v>9.1199999999999992</v>
      </c>
      <c r="R86" s="77">
        <v>9.5</v>
      </c>
      <c r="S86" s="77">
        <v>100</v>
      </c>
      <c r="T86" s="77">
        <v>0</v>
      </c>
      <c r="U86" s="77">
        <v>0</v>
      </c>
      <c r="V86" s="77">
        <v>1</v>
      </c>
      <c r="W86" s="77">
        <v>0</v>
      </c>
      <c r="X86" s="77">
        <v>0</v>
      </c>
      <c r="Y86" s="77">
        <v>0</v>
      </c>
      <c r="Z86" s="78" t="s">
        <v>41</v>
      </c>
      <c r="AA86" s="348">
        <f>ROUNDUP(bhpc_data!$AI86/bhpc_data[[#This Row],[units_per_carton]],0)</f>
        <v>0</v>
      </c>
      <c r="AB86" s="348">
        <f>bhpc_data!$AJ86/bhpc_data[[#This Row],[units_per_carton]]</f>
        <v>0</v>
      </c>
      <c r="AC86" s="348">
        <f>(bhpc_data[[#This Row],[net_weight]]/bhpc_data[[#This Row],[units_per_carton]])*bhpc_data!$AK86*bhpc_data[[#This Row],[product1_weight]]</f>
        <v>0</v>
      </c>
      <c r="AD86" s="348">
        <f>(bhpc_data[[#This Row],[net_weight]]/bhpc_data[[#This Row],[units_per_carton]])*bhpc_data!$AK86*bhpc_data[[#This Row],[product2_weight]]</f>
        <v>0</v>
      </c>
      <c r="AE86" s="348">
        <f>(bhpc_data[[#This Row],[gross_weight]]/bhpc_data[[#This Row],[units_per_carton]])*bhpc_data!$AK86*bhpc_data[[#This Row],[product1_weight]]</f>
        <v>0</v>
      </c>
      <c r="AF86" s="348">
        <f>(bhpc_data[[#This Row],[gross_weight]]/bhpc_data[[#This Row],[units_per_carton]])*bhpc_data!$AK86*bhpc_data[[#This Row],[product2_weight]]</f>
        <v>0</v>
      </c>
      <c r="AG86" s="348">
        <f>(bhpc_data[[#This Row],[lenght]]*bhpc_data[[#This Row],[width]]*bhpc_data[[#This Row],[height]])/1000000000*bhpc_data!$AK86/bhpc_data[[#This Row],[units_per_carton]]*bhpc_data[[#This Row],[product1_weight]]</f>
        <v>0</v>
      </c>
      <c r="AH86" s="348">
        <f>(bhpc_data[[#This Row],[lenght]]*bhpc_data[[#This Row],[width]]*bhpc_data[[#This Row],[height]])/1000000000*bhpc_data!$AK86/bhpc_data[[#This Row],[units_per_carton]]*bhpc_data[[#This Row],[product2_weight]]</f>
        <v>0</v>
      </c>
      <c r="AI86" s="349">
        <f>SUMIF(productsSku,bhpc_data[[#This Row],[sku]],productsQty)+SUMIF(productsSku,bhpc_data[[#This Row],[sku]],productsDiscQty)</f>
        <v>0</v>
      </c>
      <c r="AJ86" s="349">
        <f>SUMIF(productsSku,bhpc_data[[#This Row],[sku]],productsFocQty)</f>
        <v>0</v>
      </c>
      <c r="AK86" s="350">
        <f>bhpc_data!$AI86+bhpc_data!$AJ86</f>
        <v>0</v>
      </c>
      <c r="AL86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6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6" s="551">
        <f>IF(bhpc_data[[#This Row],[hs_code]]="","",IF(bhpc_data[[#This Row],[hs_code]]="33030090",bhpc_data[[#This Row],[tot_order]]/bhpc_data[[#This Row],[units_per_carton]]*bhpc_data[[#This Row],[net_weight]],0))</f>
        <v>0</v>
      </c>
      <c r="AO86" s="568">
        <f>IFERROR(bhpc_data[[#This Row],[tot_order]]/bhpc_data[[#This Row],[units_per_carton]]/bhpc_data[[#This Row],[box_per_europallet]],"")</f>
        <v>0</v>
      </c>
      <c r="AP86" s="568" t="str">
        <f>IFERROR(bhpc_data[[#This Row],[tot_order]]/bhpc_data[[#This Row],[units_per_carton]]/bhpc_data[[#This Row],[box_per_pallet]],"")</f>
        <v/>
      </c>
      <c r="AQ86" s="581">
        <f>IFERROR(ROUNDUP(bhpc_data[[#This Row],[pallet_euro]],0),"")</f>
        <v>0</v>
      </c>
      <c r="AR86" s="581" t="str">
        <f>IFERROR(ROUNDUP(bhpc_data[[#This Row],[pallet]],0),"")</f>
        <v/>
      </c>
      <c r="AV86" s="77" t="s">
        <v>144</v>
      </c>
    </row>
    <row r="87" spans="1:48">
      <c r="A87" s="77" t="s">
        <v>147</v>
      </c>
      <c r="B87" s="77" t="s">
        <v>145</v>
      </c>
      <c r="C87" s="77">
        <v>1</v>
      </c>
      <c r="D87" s="77" t="s">
        <v>38</v>
      </c>
      <c r="E87" s="79"/>
      <c r="F87" s="591" t="s">
        <v>75</v>
      </c>
      <c r="G87" s="77" t="s">
        <v>148</v>
      </c>
      <c r="H87" s="78" t="s">
        <v>77</v>
      </c>
      <c r="I87" s="559">
        <v>24</v>
      </c>
      <c r="J87" s="559">
        <v>48</v>
      </c>
      <c r="K87" s="559">
        <v>8</v>
      </c>
      <c r="L87" s="559">
        <v>6</v>
      </c>
      <c r="N87" s="77">
        <v>375</v>
      </c>
      <c r="O87" s="77">
        <v>275</v>
      </c>
      <c r="P87" s="77">
        <v>170</v>
      </c>
      <c r="Q87" s="77">
        <v>9.1199999999999992</v>
      </c>
      <c r="R87" s="77">
        <v>9.5</v>
      </c>
      <c r="S87" s="77">
        <v>100</v>
      </c>
      <c r="T87" s="77">
        <v>0</v>
      </c>
      <c r="U87" s="77">
        <v>0</v>
      </c>
      <c r="V87" s="77">
        <v>1</v>
      </c>
      <c r="W87" s="77">
        <v>0</v>
      </c>
      <c r="X87" s="77">
        <v>0</v>
      </c>
      <c r="Y87" s="77">
        <v>0</v>
      </c>
      <c r="Z87" s="78" t="s">
        <v>41</v>
      </c>
      <c r="AA87" s="351">
        <f>ROUNDUP(bhpc_data!$AI87/bhpc_data[[#This Row],[units_per_carton]],0)</f>
        <v>0</v>
      </c>
      <c r="AB87" s="351">
        <f>bhpc_data!$AJ87/bhpc_data[[#This Row],[units_per_carton]]</f>
        <v>0</v>
      </c>
      <c r="AC87" s="351">
        <f>(bhpc_data[[#This Row],[net_weight]]/bhpc_data[[#This Row],[units_per_carton]])*bhpc_data!$AK87*bhpc_data[[#This Row],[product1_weight]]</f>
        <v>0</v>
      </c>
      <c r="AD87" s="351">
        <f>(bhpc_data[[#This Row],[net_weight]]/bhpc_data[[#This Row],[units_per_carton]])*bhpc_data!$AK87*bhpc_data[[#This Row],[product2_weight]]</f>
        <v>0</v>
      </c>
      <c r="AE87" s="351">
        <f>(bhpc_data[[#This Row],[gross_weight]]/bhpc_data[[#This Row],[units_per_carton]])*bhpc_data!$AK87*bhpc_data[[#This Row],[product1_weight]]</f>
        <v>0</v>
      </c>
      <c r="AF87" s="351">
        <f>(bhpc_data[[#This Row],[gross_weight]]/bhpc_data[[#This Row],[units_per_carton]])*bhpc_data!$AK87*bhpc_data[[#This Row],[product2_weight]]</f>
        <v>0</v>
      </c>
      <c r="AG87" s="351">
        <f>(bhpc_data[[#This Row],[lenght]]*bhpc_data[[#This Row],[width]]*bhpc_data[[#This Row],[height]])/1000000000*bhpc_data!$AK87/bhpc_data[[#This Row],[units_per_carton]]*bhpc_data[[#This Row],[product1_weight]]</f>
        <v>0</v>
      </c>
      <c r="AH87" s="351">
        <f>(bhpc_data[[#This Row],[lenght]]*bhpc_data[[#This Row],[width]]*bhpc_data[[#This Row],[height]])/1000000000*bhpc_data!$AK87/bhpc_data[[#This Row],[units_per_carton]]*bhpc_data[[#This Row],[product2_weight]]</f>
        <v>0</v>
      </c>
      <c r="AI87" s="352">
        <f>SUMIF(productsSku,bhpc_data[[#This Row],[sku]],productsQty)+SUMIF(productsSku,bhpc_data[[#This Row],[sku]],productsDiscQty)</f>
        <v>0</v>
      </c>
      <c r="AJ87" s="352">
        <f>SUMIF(productsSku,bhpc_data[[#This Row],[sku]],productsFocQty)</f>
        <v>0</v>
      </c>
      <c r="AK87" s="353">
        <f>bhpc_data!$AI87+bhpc_data!$AJ87</f>
        <v>0</v>
      </c>
      <c r="AL87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7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7" s="551">
        <f>IF(bhpc_data[[#This Row],[hs_code]]="","",IF(bhpc_data[[#This Row],[hs_code]]="33030090",bhpc_data[[#This Row],[tot_order]]/bhpc_data[[#This Row],[units_per_carton]]*bhpc_data[[#This Row],[net_weight]],0))</f>
        <v>0</v>
      </c>
      <c r="AO87" s="568">
        <f>IFERROR(bhpc_data[[#This Row],[tot_order]]/bhpc_data[[#This Row],[units_per_carton]]/bhpc_data[[#This Row],[box_per_europallet]],"")</f>
        <v>0</v>
      </c>
      <c r="AP87" s="568" t="str">
        <f>IFERROR(bhpc_data[[#This Row],[tot_order]]/bhpc_data[[#This Row],[units_per_carton]]/bhpc_data[[#This Row],[box_per_pallet]],"")</f>
        <v/>
      </c>
      <c r="AQ87" s="581">
        <f>IFERROR(ROUNDUP(bhpc_data[[#This Row],[pallet_euro]],0),"")</f>
        <v>0</v>
      </c>
      <c r="AR87" s="581" t="str">
        <f>IFERROR(ROUNDUP(bhpc_data[[#This Row],[pallet]],0),"")</f>
        <v/>
      </c>
      <c r="AV87" s="77" t="s">
        <v>147</v>
      </c>
    </row>
    <row r="88" spans="1:48">
      <c r="A88" s="77" t="s">
        <v>149</v>
      </c>
      <c r="B88" s="77" t="s">
        <v>145</v>
      </c>
      <c r="C88" s="77">
        <v>1</v>
      </c>
      <c r="D88" s="77" t="s">
        <v>38</v>
      </c>
      <c r="E88" s="79"/>
      <c r="F88" s="591" t="s">
        <v>75</v>
      </c>
      <c r="G88" s="77" t="s">
        <v>842</v>
      </c>
      <c r="H88" s="78" t="s">
        <v>77</v>
      </c>
      <c r="I88" s="559">
        <v>24</v>
      </c>
      <c r="J88" s="559">
        <v>48</v>
      </c>
      <c r="K88" s="559">
        <v>8</v>
      </c>
      <c r="L88" s="559">
        <v>6</v>
      </c>
      <c r="N88" s="77">
        <v>375</v>
      </c>
      <c r="O88" s="77">
        <v>275</v>
      </c>
      <c r="P88" s="77">
        <v>170</v>
      </c>
      <c r="Q88" s="77">
        <v>9.1199999999999992</v>
      </c>
      <c r="R88" s="77">
        <v>9.5</v>
      </c>
      <c r="S88" s="77">
        <v>100</v>
      </c>
      <c r="T88" s="77">
        <v>0</v>
      </c>
      <c r="U88" s="77">
        <v>0</v>
      </c>
      <c r="V88" s="77">
        <v>1</v>
      </c>
      <c r="W88" s="77">
        <v>0</v>
      </c>
      <c r="X88" s="77">
        <v>0</v>
      </c>
      <c r="Y88" s="77">
        <v>0</v>
      </c>
      <c r="Z88" s="78" t="s">
        <v>41</v>
      </c>
      <c r="AA88" s="348">
        <f>ROUNDUP(bhpc_data!$AI88/bhpc_data[[#This Row],[units_per_carton]],0)</f>
        <v>0</v>
      </c>
      <c r="AB88" s="348">
        <f>bhpc_data!$AJ88/bhpc_data[[#This Row],[units_per_carton]]</f>
        <v>0</v>
      </c>
      <c r="AC88" s="348">
        <f>(bhpc_data[[#This Row],[net_weight]]/bhpc_data[[#This Row],[units_per_carton]])*bhpc_data!$AK88*bhpc_data[[#This Row],[product1_weight]]</f>
        <v>0</v>
      </c>
      <c r="AD88" s="348">
        <f>(bhpc_data[[#This Row],[net_weight]]/bhpc_data[[#This Row],[units_per_carton]])*bhpc_data!$AK88*bhpc_data[[#This Row],[product2_weight]]</f>
        <v>0</v>
      </c>
      <c r="AE88" s="348">
        <f>(bhpc_data[[#This Row],[gross_weight]]/bhpc_data[[#This Row],[units_per_carton]])*bhpc_data!$AK88*bhpc_data[[#This Row],[product1_weight]]</f>
        <v>0</v>
      </c>
      <c r="AF88" s="348">
        <f>(bhpc_data[[#This Row],[gross_weight]]/bhpc_data[[#This Row],[units_per_carton]])*bhpc_data!$AK88*bhpc_data[[#This Row],[product2_weight]]</f>
        <v>0</v>
      </c>
      <c r="AG88" s="348">
        <f>(bhpc_data[[#This Row],[lenght]]*bhpc_data[[#This Row],[width]]*bhpc_data[[#This Row],[height]])/1000000000*bhpc_data!$AK88/bhpc_data[[#This Row],[units_per_carton]]*bhpc_data[[#This Row],[product1_weight]]</f>
        <v>0</v>
      </c>
      <c r="AH88" s="348">
        <f>(bhpc_data[[#This Row],[lenght]]*bhpc_data[[#This Row],[width]]*bhpc_data[[#This Row],[height]])/1000000000*bhpc_data!$AK88/bhpc_data[[#This Row],[units_per_carton]]*bhpc_data[[#This Row],[product2_weight]]</f>
        <v>0</v>
      </c>
      <c r="AI88" s="349">
        <f>SUMIF(productsSku,bhpc_data[[#This Row],[sku]],productsQty)+SUMIF(productsSku,bhpc_data[[#This Row],[sku]],productsDiscQty)</f>
        <v>0</v>
      </c>
      <c r="AJ88" s="349">
        <f>SUMIF(productsSku,bhpc_data[[#This Row],[sku]],productsFocQty)</f>
        <v>0</v>
      </c>
      <c r="AK88" s="350">
        <f>bhpc_data!$AI88+bhpc_data!$AJ88</f>
        <v>0</v>
      </c>
      <c r="AL88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8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8" s="551">
        <f>IF(bhpc_data[[#This Row],[hs_code]]="","",IF(bhpc_data[[#This Row],[hs_code]]="33030090",bhpc_data[[#This Row],[tot_order]]/bhpc_data[[#This Row],[units_per_carton]]*bhpc_data[[#This Row],[net_weight]],0))</f>
        <v>0</v>
      </c>
      <c r="AO88" s="568">
        <f>IFERROR(bhpc_data[[#This Row],[tot_order]]/bhpc_data[[#This Row],[units_per_carton]]/bhpc_data[[#This Row],[box_per_europallet]],"")</f>
        <v>0</v>
      </c>
      <c r="AP88" s="568" t="str">
        <f>IFERROR(bhpc_data[[#This Row],[tot_order]]/bhpc_data[[#This Row],[units_per_carton]]/bhpc_data[[#This Row],[box_per_pallet]],"")</f>
        <v/>
      </c>
      <c r="AQ88" s="581">
        <f>IFERROR(ROUNDUP(bhpc_data[[#This Row],[pallet_euro]],0),"")</f>
        <v>0</v>
      </c>
      <c r="AR88" s="581" t="str">
        <f>IFERROR(ROUNDUP(bhpc_data[[#This Row],[pallet]],0),"")</f>
        <v/>
      </c>
      <c r="AV88" s="77" t="s">
        <v>149</v>
      </c>
    </row>
    <row r="89" spans="1:48">
      <c r="A89" s="77" t="s">
        <v>151</v>
      </c>
      <c r="B89" s="77" t="s">
        <v>145</v>
      </c>
      <c r="C89" s="77">
        <v>1</v>
      </c>
      <c r="D89" s="77" t="s">
        <v>38</v>
      </c>
      <c r="E89" s="79"/>
      <c r="F89" s="591" t="s">
        <v>75</v>
      </c>
      <c r="G89" s="77" t="s">
        <v>152</v>
      </c>
      <c r="H89" s="78" t="s">
        <v>77</v>
      </c>
      <c r="I89" s="559">
        <v>24</v>
      </c>
      <c r="J89" s="559">
        <v>48</v>
      </c>
      <c r="K89" s="559">
        <v>8</v>
      </c>
      <c r="L89" s="559">
        <v>6</v>
      </c>
      <c r="N89" s="77">
        <v>375</v>
      </c>
      <c r="O89" s="77">
        <v>275</v>
      </c>
      <c r="P89" s="77">
        <v>170</v>
      </c>
      <c r="Q89" s="77">
        <v>9.1199999999999992</v>
      </c>
      <c r="R89" s="77">
        <v>9.5</v>
      </c>
      <c r="S89" s="77">
        <v>100</v>
      </c>
      <c r="T89" s="77">
        <v>0</v>
      </c>
      <c r="U89" s="77">
        <v>0</v>
      </c>
      <c r="V89" s="77">
        <v>1</v>
      </c>
      <c r="W89" s="77">
        <v>0</v>
      </c>
      <c r="X89" s="77">
        <v>0</v>
      </c>
      <c r="Y89" s="77">
        <v>0</v>
      </c>
      <c r="Z89" s="78" t="s">
        <v>41</v>
      </c>
      <c r="AA89" s="351">
        <f>ROUNDUP(bhpc_data!$AI89/bhpc_data[[#This Row],[units_per_carton]],0)</f>
        <v>0</v>
      </c>
      <c r="AB89" s="351">
        <f>bhpc_data!$AJ89/bhpc_data[[#This Row],[units_per_carton]]</f>
        <v>0</v>
      </c>
      <c r="AC89" s="351">
        <f>(bhpc_data[[#This Row],[net_weight]]/bhpc_data[[#This Row],[units_per_carton]])*bhpc_data!$AK89*bhpc_data[[#This Row],[product1_weight]]</f>
        <v>0</v>
      </c>
      <c r="AD89" s="351">
        <f>(bhpc_data[[#This Row],[net_weight]]/bhpc_data[[#This Row],[units_per_carton]])*bhpc_data!$AK89*bhpc_data[[#This Row],[product2_weight]]</f>
        <v>0</v>
      </c>
      <c r="AE89" s="351">
        <f>(bhpc_data[[#This Row],[gross_weight]]/bhpc_data[[#This Row],[units_per_carton]])*bhpc_data!$AK89*bhpc_data[[#This Row],[product1_weight]]</f>
        <v>0</v>
      </c>
      <c r="AF89" s="351">
        <f>(bhpc_data[[#This Row],[gross_weight]]/bhpc_data[[#This Row],[units_per_carton]])*bhpc_data!$AK89*bhpc_data[[#This Row],[product2_weight]]</f>
        <v>0</v>
      </c>
      <c r="AG89" s="351">
        <f>(bhpc_data[[#This Row],[lenght]]*bhpc_data[[#This Row],[width]]*bhpc_data[[#This Row],[height]])/1000000000*bhpc_data!$AK89/bhpc_data[[#This Row],[units_per_carton]]*bhpc_data[[#This Row],[product1_weight]]</f>
        <v>0</v>
      </c>
      <c r="AH89" s="351">
        <f>(bhpc_data[[#This Row],[lenght]]*bhpc_data[[#This Row],[width]]*bhpc_data[[#This Row],[height]])/1000000000*bhpc_data!$AK89/bhpc_data[[#This Row],[units_per_carton]]*bhpc_data[[#This Row],[product2_weight]]</f>
        <v>0</v>
      </c>
      <c r="AI89" s="352">
        <f>SUMIF(productsSku,bhpc_data[[#This Row],[sku]],productsQty)+SUMIF(productsSku,bhpc_data[[#This Row],[sku]],productsDiscQty)</f>
        <v>0</v>
      </c>
      <c r="AJ89" s="352">
        <f>SUMIF(productsSku,bhpc_data[[#This Row],[sku]],productsFocQty)</f>
        <v>0</v>
      </c>
      <c r="AK89" s="353">
        <f>bhpc_data!$AI89+bhpc_data!$AJ89</f>
        <v>0</v>
      </c>
      <c r="AL89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89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89" s="551">
        <f>IF(bhpc_data[[#This Row],[hs_code]]="","",IF(bhpc_data[[#This Row],[hs_code]]="33030090",bhpc_data[[#This Row],[tot_order]]/bhpc_data[[#This Row],[units_per_carton]]*bhpc_data[[#This Row],[net_weight]],0))</f>
        <v>0</v>
      </c>
      <c r="AO89" s="568">
        <f>IFERROR(bhpc_data[[#This Row],[tot_order]]/bhpc_data[[#This Row],[units_per_carton]]/bhpc_data[[#This Row],[box_per_europallet]],"")</f>
        <v>0</v>
      </c>
      <c r="AP89" s="568" t="str">
        <f>IFERROR(bhpc_data[[#This Row],[tot_order]]/bhpc_data[[#This Row],[units_per_carton]]/bhpc_data[[#This Row],[box_per_pallet]],"")</f>
        <v/>
      </c>
      <c r="AQ89" s="581">
        <f>IFERROR(ROUNDUP(bhpc_data[[#This Row],[pallet_euro]],0),"")</f>
        <v>0</v>
      </c>
      <c r="AR89" s="581" t="str">
        <f>IFERROR(ROUNDUP(bhpc_data[[#This Row],[pallet]],0),"")</f>
        <v/>
      </c>
      <c r="AV89" s="77" t="s">
        <v>151</v>
      </c>
    </row>
    <row r="90" spans="1:48">
      <c r="A90" s="77" t="s">
        <v>153</v>
      </c>
      <c r="B90" s="77" t="s">
        <v>145</v>
      </c>
      <c r="C90" s="77">
        <v>1</v>
      </c>
      <c r="D90" s="77" t="s">
        <v>49</v>
      </c>
      <c r="E90" s="79"/>
      <c r="F90" s="591" t="s">
        <v>75</v>
      </c>
      <c r="G90" s="77" t="s">
        <v>154</v>
      </c>
      <c r="H90" s="78" t="s">
        <v>77</v>
      </c>
      <c r="I90" s="559">
        <v>24</v>
      </c>
      <c r="J90" s="559">
        <v>48</v>
      </c>
      <c r="K90" s="559">
        <v>8</v>
      </c>
      <c r="L90" s="559">
        <v>6</v>
      </c>
      <c r="N90" s="77">
        <v>375</v>
      </c>
      <c r="O90" s="77">
        <v>275</v>
      </c>
      <c r="P90" s="77">
        <v>170</v>
      </c>
      <c r="Q90" s="77">
        <v>9.1199999999999992</v>
      </c>
      <c r="R90" s="77">
        <v>9.5</v>
      </c>
      <c r="S90" s="77">
        <v>100</v>
      </c>
      <c r="T90" s="77">
        <v>0</v>
      </c>
      <c r="U90" s="77">
        <v>0</v>
      </c>
      <c r="V90" s="77">
        <v>1</v>
      </c>
      <c r="W90" s="77">
        <v>0</v>
      </c>
      <c r="X90" s="77">
        <v>0</v>
      </c>
      <c r="Y90" s="77">
        <v>0</v>
      </c>
      <c r="Z90" s="78" t="s">
        <v>41</v>
      </c>
      <c r="AA90" s="348">
        <f>ROUNDUP(bhpc_data!$AI90/bhpc_data[[#This Row],[units_per_carton]],0)</f>
        <v>0</v>
      </c>
      <c r="AB90" s="348">
        <f>bhpc_data!$AJ90/bhpc_data[[#This Row],[units_per_carton]]</f>
        <v>0</v>
      </c>
      <c r="AC90" s="348">
        <f>(bhpc_data[[#This Row],[net_weight]]/bhpc_data[[#This Row],[units_per_carton]])*bhpc_data!$AK90*bhpc_data[[#This Row],[product1_weight]]</f>
        <v>0</v>
      </c>
      <c r="AD90" s="348">
        <f>(bhpc_data[[#This Row],[net_weight]]/bhpc_data[[#This Row],[units_per_carton]])*bhpc_data!$AK90*bhpc_data[[#This Row],[product2_weight]]</f>
        <v>0</v>
      </c>
      <c r="AE90" s="348">
        <f>(bhpc_data[[#This Row],[gross_weight]]/bhpc_data[[#This Row],[units_per_carton]])*bhpc_data!$AK90*bhpc_data[[#This Row],[product1_weight]]</f>
        <v>0</v>
      </c>
      <c r="AF90" s="348">
        <f>(bhpc_data[[#This Row],[gross_weight]]/bhpc_data[[#This Row],[units_per_carton]])*bhpc_data!$AK90*bhpc_data[[#This Row],[product2_weight]]</f>
        <v>0</v>
      </c>
      <c r="AG90" s="348">
        <f>(bhpc_data[[#This Row],[lenght]]*bhpc_data[[#This Row],[width]]*bhpc_data[[#This Row],[height]])/1000000000*bhpc_data!$AK90/bhpc_data[[#This Row],[units_per_carton]]*bhpc_data[[#This Row],[product1_weight]]</f>
        <v>0</v>
      </c>
      <c r="AH90" s="348">
        <f>(bhpc_data[[#This Row],[lenght]]*bhpc_data[[#This Row],[width]]*bhpc_data[[#This Row],[height]])/1000000000*bhpc_data!$AK90/bhpc_data[[#This Row],[units_per_carton]]*bhpc_data[[#This Row],[product2_weight]]</f>
        <v>0</v>
      </c>
      <c r="AI90" s="349">
        <f>SUMIF(productsSku,bhpc_data[[#This Row],[sku]],productsQty)+SUMIF(productsSku,bhpc_data[[#This Row],[sku]],productsDiscQty)</f>
        <v>0</v>
      </c>
      <c r="AJ90" s="349">
        <f>SUMIF(productsSku,bhpc_data[[#This Row],[sku]],productsFocQty)</f>
        <v>0</v>
      </c>
      <c r="AK90" s="350">
        <f>bhpc_data!$AI90+bhpc_data!$AJ90</f>
        <v>0</v>
      </c>
      <c r="AL90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0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0" s="551">
        <f>IF(bhpc_data[[#This Row],[hs_code]]="","",IF(bhpc_data[[#This Row],[hs_code]]="33030090",bhpc_data[[#This Row],[tot_order]]/bhpc_data[[#This Row],[units_per_carton]]*bhpc_data[[#This Row],[net_weight]],0))</f>
        <v>0</v>
      </c>
      <c r="AO90" s="568">
        <f>IFERROR(bhpc_data[[#This Row],[tot_order]]/bhpc_data[[#This Row],[units_per_carton]]/bhpc_data[[#This Row],[box_per_europallet]],"")</f>
        <v>0</v>
      </c>
      <c r="AP90" s="568" t="str">
        <f>IFERROR(bhpc_data[[#This Row],[tot_order]]/bhpc_data[[#This Row],[units_per_carton]]/bhpc_data[[#This Row],[box_per_pallet]],"")</f>
        <v/>
      </c>
      <c r="AQ90" s="581">
        <f>IFERROR(ROUNDUP(bhpc_data[[#This Row],[pallet_euro]],0),"")</f>
        <v>0</v>
      </c>
      <c r="AR90" s="581" t="str">
        <f>IFERROR(ROUNDUP(bhpc_data[[#This Row],[pallet]],0),"")</f>
        <v/>
      </c>
      <c r="AV90" s="77" t="s">
        <v>153</v>
      </c>
    </row>
    <row r="91" spans="1:48">
      <c r="A91" s="77" t="s">
        <v>155</v>
      </c>
      <c r="B91" s="77" t="s">
        <v>145</v>
      </c>
      <c r="C91" s="77">
        <v>1</v>
      </c>
      <c r="D91" s="77" t="s">
        <v>49</v>
      </c>
      <c r="E91" s="79"/>
      <c r="F91" s="591" t="s">
        <v>75</v>
      </c>
      <c r="G91" s="77" t="s">
        <v>156</v>
      </c>
      <c r="H91" s="78" t="s">
        <v>77</v>
      </c>
      <c r="I91" s="559">
        <v>24</v>
      </c>
      <c r="J91" s="559">
        <v>48</v>
      </c>
      <c r="K91" s="559">
        <v>8</v>
      </c>
      <c r="L91" s="559">
        <v>6</v>
      </c>
      <c r="N91" s="77">
        <v>375</v>
      </c>
      <c r="O91" s="77">
        <v>275</v>
      </c>
      <c r="P91" s="77">
        <v>170</v>
      </c>
      <c r="Q91" s="77">
        <v>9.1199999999999992</v>
      </c>
      <c r="R91" s="77">
        <v>9.5</v>
      </c>
      <c r="S91" s="77">
        <v>100</v>
      </c>
      <c r="T91" s="77">
        <v>0</v>
      </c>
      <c r="U91" s="77">
        <v>0</v>
      </c>
      <c r="V91" s="77">
        <v>1</v>
      </c>
      <c r="W91" s="77">
        <v>0</v>
      </c>
      <c r="X91" s="77">
        <v>0</v>
      </c>
      <c r="Y91" s="77">
        <v>0</v>
      </c>
      <c r="Z91" s="78" t="s">
        <v>41</v>
      </c>
      <c r="AA91" s="351">
        <f>ROUNDUP(bhpc_data!$AI91/bhpc_data[[#This Row],[units_per_carton]],0)</f>
        <v>0</v>
      </c>
      <c r="AB91" s="351">
        <f>bhpc_data!$AJ91/bhpc_data[[#This Row],[units_per_carton]]</f>
        <v>0</v>
      </c>
      <c r="AC91" s="351">
        <f>(bhpc_data[[#This Row],[net_weight]]/bhpc_data[[#This Row],[units_per_carton]])*bhpc_data!$AK91*bhpc_data[[#This Row],[product1_weight]]</f>
        <v>0</v>
      </c>
      <c r="AD91" s="351">
        <f>(bhpc_data[[#This Row],[net_weight]]/bhpc_data[[#This Row],[units_per_carton]])*bhpc_data!$AK91*bhpc_data[[#This Row],[product2_weight]]</f>
        <v>0</v>
      </c>
      <c r="AE91" s="351">
        <f>(bhpc_data[[#This Row],[gross_weight]]/bhpc_data[[#This Row],[units_per_carton]])*bhpc_data!$AK91*bhpc_data[[#This Row],[product1_weight]]</f>
        <v>0</v>
      </c>
      <c r="AF91" s="351">
        <f>(bhpc_data[[#This Row],[gross_weight]]/bhpc_data[[#This Row],[units_per_carton]])*bhpc_data!$AK91*bhpc_data[[#This Row],[product2_weight]]</f>
        <v>0</v>
      </c>
      <c r="AG91" s="351">
        <f>(bhpc_data[[#This Row],[lenght]]*bhpc_data[[#This Row],[width]]*bhpc_data[[#This Row],[height]])/1000000000*bhpc_data!$AK91/bhpc_data[[#This Row],[units_per_carton]]*bhpc_data[[#This Row],[product1_weight]]</f>
        <v>0</v>
      </c>
      <c r="AH91" s="351">
        <f>(bhpc_data[[#This Row],[lenght]]*bhpc_data[[#This Row],[width]]*bhpc_data[[#This Row],[height]])/1000000000*bhpc_data!$AK91/bhpc_data[[#This Row],[units_per_carton]]*bhpc_data[[#This Row],[product2_weight]]</f>
        <v>0</v>
      </c>
      <c r="AI91" s="352">
        <f>SUMIF(productsSku,bhpc_data[[#This Row],[sku]],productsQty)+SUMIF(productsSku,bhpc_data[[#This Row],[sku]],productsDiscQty)</f>
        <v>0</v>
      </c>
      <c r="AJ91" s="352">
        <f>SUMIF(productsSku,bhpc_data[[#This Row],[sku]],productsFocQty)</f>
        <v>0</v>
      </c>
      <c r="AK91" s="353">
        <f>bhpc_data!$AI91+bhpc_data!$AJ91</f>
        <v>0</v>
      </c>
      <c r="AL91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1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1" s="551">
        <f>IF(bhpc_data[[#This Row],[hs_code]]="","",IF(bhpc_data[[#This Row],[hs_code]]="33030090",bhpc_data[[#This Row],[tot_order]]/bhpc_data[[#This Row],[units_per_carton]]*bhpc_data[[#This Row],[net_weight]],0))</f>
        <v>0</v>
      </c>
      <c r="AO91" s="568">
        <f>IFERROR(bhpc_data[[#This Row],[tot_order]]/bhpc_data[[#This Row],[units_per_carton]]/bhpc_data[[#This Row],[box_per_europallet]],"")</f>
        <v>0</v>
      </c>
      <c r="AP91" s="568" t="str">
        <f>IFERROR(bhpc_data[[#This Row],[tot_order]]/bhpc_data[[#This Row],[units_per_carton]]/bhpc_data[[#This Row],[box_per_pallet]],"")</f>
        <v/>
      </c>
      <c r="AQ91" s="581">
        <f>IFERROR(ROUNDUP(bhpc_data[[#This Row],[pallet_euro]],0),"")</f>
        <v>0</v>
      </c>
      <c r="AR91" s="581" t="str">
        <f>IFERROR(ROUNDUP(bhpc_data[[#This Row],[pallet]],0),"")</f>
        <v/>
      </c>
      <c r="AV91" s="77" t="s">
        <v>155</v>
      </c>
    </row>
    <row r="92" spans="1:48">
      <c r="A92" s="77" t="s">
        <v>157</v>
      </c>
      <c r="B92" s="77" t="s">
        <v>145</v>
      </c>
      <c r="C92" s="77">
        <v>1</v>
      </c>
      <c r="D92" s="77" t="s">
        <v>49</v>
      </c>
      <c r="E92" s="79"/>
      <c r="F92" s="591" t="s">
        <v>75</v>
      </c>
      <c r="G92" s="77" t="s">
        <v>158</v>
      </c>
      <c r="H92" s="78" t="s">
        <v>77</v>
      </c>
      <c r="I92" s="559">
        <v>24</v>
      </c>
      <c r="J92" s="559">
        <v>48</v>
      </c>
      <c r="K92" s="559">
        <v>8</v>
      </c>
      <c r="L92" s="559">
        <v>6</v>
      </c>
      <c r="N92" s="77">
        <v>375</v>
      </c>
      <c r="O92" s="77">
        <v>275</v>
      </c>
      <c r="P92" s="77">
        <v>170</v>
      </c>
      <c r="Q92" s="77">
        <v>9.1199999999999992</v>
      </c>
      <c r="R92" s="77">
        <v>9.5</v>
      </c>
      <c r="S92" s="77">
        <v>100</v>
      </c>
      <c r="T92" s="77">
        <v>0</v>
      </c>
      <c r="U92" s="77">
        <v>0</v>
      </c>
      <c r="V92" s="77">
        <v>1</v>
      </c>
      <c r="W92" s="77">
        <v>0</v>
      </c>
      <c r="X92" s="77">
        <v>0</v>
      </c>
      <c r="Y92" s="77">
        <v>0</v>
      </c>
      <c r="Z92" s="78" t="s">
        <v>41</v>
      </c>
      <c r="AA92" s="348">
        <f>ROUNDUP(bhpc_data!$AI92/bhpc_data[[#This Row],[units_per_carton]],0)</f>
        <v>0</v>
      </c>
      <c r="AB92" s="348">
        <f>bhpc_data!$AJ92/bhpc_data[[#This Row],[units_per_carton]]</f>
        <v>0</v>
      </c>
      <c r="AC92" s="348">
        <f>(bhpc_data[[#This Row],[net_weight]]/bhpc_data[[#This Row],[units_per_carton]])*bhpc_data!$AK92*bhpc_data[[#This Row],[product1_weight]]</f>
        <v>0</v>
      </c>
      <c r="AD92" s="348">
        <f>(bhpc_data[[#This Row],[net_weight]]/bhpc_data[[#This Row],[units_per_carton]])*bhpc_data!$AK92*bhpc_data[[#This Row],[product2_weight]]</f>
        <v>0</v>
      </c>
      <c r="AE92" s="348">
        <f>(bhpc_data[[#This Row],[gross_weight]]/bhpc_data[[#This Row],[units_per_carton]])*bhpc_data!$AK92*bhpc_data[[#This Row],[product1_weight]]</f>
        <v>0</v>
      </c>
      <c r="AF92" s="348">
        <f>(bhpc_data[[#This Row],[gross_weight]]/bhpc_data[[#This Row],[units_per_carton]])*bhpc_data!$AK92*bhpc_data[[#This Row],[product2_weight]]</f>
        <v>0</v>
      </c>
      <c r="AG92" s="348">
        <f>(bhpc_data[[#This Row],[lenght]]*bhpc_data[[#This Row],[width]]*bhpc_data[[#This Row],[height]])/1000000000*bhpc_data!$AK92/bhpc_data[[#This Row],[units_per_carton]]*bhpc_data[[#This Row],[product1_weight]]</f>
        <v>0</v>
      </c>
      <c r="AH92" s="348">
        <f>(bhpc_data[[#This Row],[lenght]]*bhpc_data[[#This Row],[width]]*bhpc_data[[#This Row],[height]])/1000000000*bhpc_data!$AK92/bhpc_data[[#This Row],[units_per_carton]]*bhpc_data[[#This Row],[product2_weight]]</f>
        <v>0</v>
      </c>
      <c r="AI92" s="349">
        <f>SUMIF(productsSku,bhpc_data[[#This Row],[sku]],productsQty)+SUMIF(productsSku,bhpc_data[[#This Row],[sku]],productsDiscQty)</f>
        <v>0</v>
      </c>
      <c r="AJ92" s="349">
        <f>SUMIF(productsSku,bhpc_data[[#This Row],[sku]],productsFocQty)</f>
        <v>0</v>
      </c>
      <c r="AK92" s="350">
        <f>bhpc_data!$AI92+bhpc_data!$AJ92</f>
        <v>0</v>
      </c>
      <c r="AL92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2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2" s="551">
        <f>IF(bhpc_data[[#This Row],[hs_code]]="","",IF(bhpc_data[[#This Row],[hs_code]]="33030090",bhpc_data[[#This Row],[tot_order]]/bhpc_data[[#This Row],[units_per_carton]]*bhpc_data[[#This Row],[net_weight]],0))</f>
        <v>0</v>
      </c>
      <c r="AO92" s="568">
        <f>IFERROR(bhpc_data[[#This Row],[tot_order]]/bhpc_data[[#This Row],[units_per_carton]]/bhpc_data[[#This Row],[box_per_europallet]],"")</f>
        <v>0</v>
      </c>
      <c r="AP92" s="568" t="str">
        <f>IFERROR(bhpc_data[[#This Row],[tot_order]]/bhpc_data[[#This Row],[units_per_carton]]/bhpc_data[[#This Row],[box_per_pallet]],"")</f>
        <v/>
      </c>
      <c r="AQ92" s="581">
        <f>IFERROR(ROUNDUP(bhpc_data[[#This Row],[pallet_euro]],0),"")</f>
        <v>0</v>
      </c>
      <c r="AR92" s="581" t="str">
        <f>IFERROR(ROUNDUP(bhpc_data[[#This Row],[pallet]],0),"")</f>
        <v/>
      </c>
      <c r="AV92" s="77" t="s">
        <v>157</v>
      </c>
    </row>
    <row r="93" spans="1:48">
      <c r="A93" s="77" t="s">
        <v>159</v>
      </c>
      <c r="B93" s="77" t="s">
        <v>145</v>
      </c>
      <c r="C93" s="77">
        <v>1</v>
      </c>
      <c r="D93" s="77" t="s">
        <v>49</v>
      </c>
      <c r="E93" s="79"/>
      <c r="F93" s="591" t="s">
        <v>75</v>
      </c>
      <c r="G93" s="77" t="s">
        <v>160</v>
      </c>
      <c r="H93" s="78" t="s">
        <v>77</v>
      </c>
      <c r="I93" s="559">
        <v>24</v>
      </c>
      <c r="J93" s="559">
        <v>48</v>
      </c>
      <c r="K93" s="559">
        <v>8</v>
      </c>
      <c r="L93" s="559">
        <v>6</v>
      </c>
      <c r="N93" s="77">
        <v>375</v>
      </c>
      <c r="O93" s="77">
        <v>275</v>
      </c>
      <c r="P93" s="77">
        <v>170</v>
      </c>
      <c r="Q93" s="77">
        <v>9.1199999999999992</v>
      </c>
      <c r="R93" s="77">
        <v>9.5</v>
      </c>
      <c r="S93" s="77">
        <v>100</v>
      </c>
      <c r="T93" s="77">
        <v>0</v>
      </c>
      <c r="U93" s="77">
        <v>0</v>
      </c>
      <c r="V93" s="77">
        <v>1</v>
      </c>
      <c r="W93" s="77">
        <v>0</v>
      </c>
      <c r="X93" s="77">
        <v>0</v>
      </c>
      <c r="Y93" s="77">
        <v>0</v>
      </c>
      <c r="Z93" s="78" t="s">
        <v>41</v>
      </c>
      <c r="AA93" s="351">
        <f>ROUNDUP(bhpc_data!$AI93/bhpc_data[[#This Row],[units_per_carton]],0)</f>
        <v>0</v>
      </c>
      <c r="AB93" s="351">
        <f>bhpc_data!$AJ93/bhpc_data[[#This Row],[units_per_carton]]</f>
        <v>0</v>
      </c>
      <c r="AC93" s="351">
        <f>(bhpc_data[[#This Row],[net_weight]]/bhpc_data[[#This Row],[units_per_carton]])*bhpc_data!$AK93*bhpc_data[[#This Row],[product1_weight]]</f>
        <v>0</v>
      </c>
      <c r="AD93" s="351">
        <f>(bhpc_data[[#This Row],[net_weight]]/bhpc_data[[#This Row],[units_per_carton]])*bhpc_data!$AK93*bhpc_data[[#This Row],[product2_weight]]</f>
        <v>0</v>
      </c>
      <c r="AE93" s="351">
        <f>(bhpc_data[[#This Row],[gross_weight]]/bhpc_data[[#This Row],[units_per_carton]])*bhpc_data!$AK93*bhpc_data[[#This Row],[product1_weight]]</f>
        <v>0</v>
      </c>
      <c r="AF93" s="351">
        <f>(bhpc_data[[#This Row],[gross_weight]]/bhpc_data[[#This Row],[units_per_carton]])*bhpc_data!$AK93*bhpc_data[[#This Row],[product2_weight]]</f>
        <v>0</v>
      </c>
      <c r="AG93" s="351">
        <f>(bhpc_data[[#This Row],[lenght]]*bhpc_data[[#This Row],[width]]*bhpc_data[[#This Row],[height]])/1000000000*bhpc_data!$AK93/bhpc_data[[#This Row],[units_per_carton]]*bhpc_data[[#This Row],[product1_weight]]</f>
        <v>0</v>
      </c>
      <c r="AH93" s="351">
        <f>(bhpc_data[[#This Row],[lenght]]*bhpc_data[[#This Row],[width]]*bhpc_data[[#This Row],[height]])/1000000000*bhpc_data!$AK93/bhpc_data[[#This Row],[units_per_carton]]*bhpc_data[[#This Row],[product2_weight]]</f>
        <v>0</v>
      </c>
      <c r="AI93" s="352">
        <f>SUMIF(productsSku,bhpc_data[[#This Row],[sku]],productsQty)+SUMIF(productsSku,bhpc_data[[#This Row],[sku]],productsDiscQty)</f>
        <v>0</v>
      </c>
      <c r="AJ93" s="352">
        <f>SUMIF(productsSku,bhpc_data[[#This Row],[sku]],productsFocQty)</f>
        <v>0</v>
      </c>
      <c r="AK93" s="353">
        <f>bhpc_data!$AI93+bhpc_data!$AJ93</f>
        <v>0</v>
      </c>
      <c r="AL93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3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3" s="551">
        <f>IF(bhpc_data[[#This Row],[hs_code]]="","",IF(bhpc_data[[#This Row],[hs_code]]="33030090",bhpc_data[[#This Row],[tot_order]]/bhpc_data[[#This Row],[units_per_carton]]*bhpc_data[[#This Row],[net_weight]],0))</f>
        <v>0</v>
      </c>
      <c r="AO93" s="568">
        <f>IFERROR(bhpc_data[[#This Row],[tot_order]]/bhpc_data[[#This Row],[units_per_carton]]/bhpc_data[[#This Row],[box_per_europallet]],"")</f>
        <v>0</v>
      </c>
      <c r="AP93" s="568" t="str">
        <f>IFERROR(bhpc_data[[#This Row],[tot_order]]/bhpc_data[[#This Row],[units_per_carton]]/bhpc_data[[#This Row],[box_per_pallet]],"")</f>
        <v/>
      </c>
      <c r="AQ93" s="581">
        <f>IFERROR(ROUNDUP(bhpc_data[[#This Row],[pallet_euro]],0),"")</f>
        <v>0</v>
      </c>
      <c r="AR93" s="581" t="str">
        <f>IFERROR(ROUNDUP(bhpc_data[[#This Row],[pallet]],0),"")</f>
        <v/>
      </c>
      <c r="AV93" s="77" t="s">
        <v>159</v>
      </c>
    </row>
    <row r="94" spans="1:48">
      <c r="A94" s="77" t="s">
        <v>165</v>
      </c>
      <c r="B94" s="77" t="s">
        <v>145</v>
      </c>
      <c r="C94" s="77">
        <v>1</v>
      </c>
      <c r="D94" s="77" t="s">
        <v>38</v>
      </c>
      <c r="E94" s="80">
        <v>6291107168838</v>
      </c>
      <c r="F94" s="591" t="s">
        <v>75</v>
      </c>
      <c r="G94" s="77" t="s">
        <v>166</v>
      </c>
      <c r="H94" s="78" t="s">
        <v>77</v>
      </c>
      <c r="I94" s="559">
        <v>24</v>
      </c>
      <c r="J94" s="559">
        <v>10</v>
      </c>
      <c r="K94" s="559">
        <v>8</v>
      </c>
      <c r="L94" s="559">
        <v>6</v>
      </c>
      <c r="N94" s="77">
        <v>370</v>
      </c>
      <c r="O94" s="77">
        <v>275</v>
      </c>
      <c r="P94" s="77">
        <v>170</v>
      </c>
      <c r="Q94" s="77">
        <v>9.48</v>
      </c>
      <c r="R94" s="77">
        <v>9.9</v>
      </c>
      <c r="S94" s="77">
        <v>100</v>
      </c>
      <c r="T94" s="77">
        <v>0</v>
      </c>
      <c r="U94" s="77">
        <v>0</v>
      </c>
      <c r="V94" s="77">
        <v>1</v>
      </c>
      <c r="W94" s="77">
        <v>0</v>
      </c>
      <c r="X94" s="77">
        <v>0</v>
      </c>
      <c r="Y94" s="77">
        <v>0</v>
      </c>
      <c r="Z94" s="78" t="s">
        <v>41</v>
      </c>
      <c r="AA94" s="348">
        <f>ROUNDUP(bhpc_data!$AI94/bhpc_data[[#This Row],[units_per_carton]],0)</f>
        <v>0</v>
      </c>
      <c r="AB94" s="348">
        <f>bhpc_data!$AJ94/bhpc_data[[#This Row],[units_per_carton]]</f>
        <v>0</v>
      </c>
      <c r="AC94" s="348">
        <f>(bhpc_data[[#This Row],[net_weight]]/bhpc_data[[#This Row],[units_per_carton]])*bhpc_data!$AK94*bhpc_data[[#This Row],[product1_weight]]</f>
        <v>0</v>
      </c>
      <c r="AD94" s="348">
        <f>(bhpc_data[[#This Row],[net_weight]]/bhpc_data[[#This Row],[units_per_carton]])*bhpc_data!$AK94*bhpc_data[[#This Row],[product2_weight]]</f>
        <v>0</v>
      </c>
      <c r="AE94" s="348">
        <f>(bhpc_data[[#This Row],[gross_weight]]/bhpc_data[[#This Row],[units_per_carton]])*bhpc_data!$AK94*bhpc_data[[#This Row],[product1_weight]]</f>
        <v>0</v>
      </c>
      <c r="AF94" s="348">
        <f>(bhpc_data[[#This Row],[gross_weight]]/bhpc_data[[#This Row],[units_per_carton]])*bhpc_data!$AK94*bhpc_data[[#This Row],[product2_weight]]</f>
        <v>0</v>
      </c>
      <c r="AG94" s="348">
        <f>(bhpc_data[[#This Row],[lenght]]*bhpc_data[[#This Row],[width]]*bhpc_data[[#This Row],[height]])/1000000000*bhpc_data!$AK94/bhpc_data[[#This Row],[units_per_carton]]*bhpc_data[[#This Row],[product1_weight]]</f>
        <v>0</v>
      </c>
      <c r="AH94" s="348">
        <f>(bhpc_data[[#This Row],[lenght]]*bhpc_data[[#This Row],[width]]*bhpc_data[[#This Row],[height]])/1000000000*bhpc_data!$AK94/bhpc_data[[#This Row],[units_per_carton]]*bhpc_data[[#This Row],[product2_weight]]</f>
        <v>0</v>
      </c>
      <c r="AI94" s="349">
        <f>SUMIF(productsSku,bhpc_data[[#This Row],[sku]],productsQty)+SUMIF(productsSku,bhpc_data[[#This Row],[sku]],productsDiscQty)</f>
        <v>0</v>
      </c>
      <c r="AJ94" s="349">
        <f>SUMIF(productsSku,bhpc_data[[#This Row],[sku]],productsFocQty)</f>
        <v>0</v>
      </c>
      <c r="AK94" s="350">
        <f>bhpc_data!$AI94+bhpc_data!$AJ94</f>
        <v>0</v>
      </c>
      <c r="AL94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4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4" s="551">
        <f>IF(bhpc_data[[#This Row],[hs_code]]="","",IF(bhpc_data[[#This Row],[hs_code]]="33030090",bhpc_data[[#This Row],[tot_order]]/bhpc_data[[#This Row],[units_per_carton]]*bhpc_data[[#This Row],[net_weight]],0))</f>
        <v>0</v>
      </c>
      <c r="AO94" s="568">
        <f>IFERROR(bhpc_data[[#This Row],[tot_order]]/bhpc_data[[#This Row],[units_per_carton]]/bhpc_data[[#This Row],[box_per_europallet]],"")</f>
        <v>0</v>
      </c>
      <c r="AP94" s="568" t="str">
        <f>IFERROR(bhpc_data[[#This Row],[tot_order]]/bhpc_data[[#This Row],[units_per_carton]]/bhpc_data[[#This Row],[box_per_pallet]],"")</f>
        <v/>
      </c>
      <c r="AQ94" s="581">
        <f>IFERROR(ROUNDUP(bhpc_data[[#This Row],[pallet_euro]],0),"")</f>
        <v>0</v>
      </c>
      <c r="AR94" s="581" t="str">
        <f>IFERROR(ROUNDUP(bhpc_data[[#This Row],[pallet]],0),"")</f>
        <v/>
      </c>
      <c r="AV94" s="77" t="s">
        <v>165</v>
      </c>
    </row>
    <row r="95" spans="1:48">
      <c r="A95" s="77" t="s">
        <v>167</v>
      </c>
      <c r="B95" s="77" t="s">
        <v>145</v>
      </c>
      <c r="C95" s="77">
        <v>1</v>
      </c>
      <c r="D95" s="77" t="s">
        <v>49</v>
      </c>
      <c r="E95" s="80">
        <v>6291107168845</v>
      </c>
      <c r="F95" s="591" t="s">
        <v>75</v>
      </c>
      <c r="G95" s="77" t="s">
        <v>168</v>
      </c>
      <c r="H95" s="78" t="s">
        <v>77</v>
      </c>
      <c r="I95" s="559">
        <v>24</v>
      </c>
      <c r="J95" s="559">
        <v>10</v>
      </c>
      <c r="K95" s="559">
        <v>8</v>
      </c>
      <c r="L95" s="559">
        <v>6</v>
      </c>
      <c r="N95" s="77">
        <v>370</v>
      </c>
      <c r="O95" s="77">
        <v>275</v>
      </c>
      <c r="P95" s="77">
        <v>170</v>
      </c>
      <c r="Q95" s="77">
        <v>9.48</v>
      </c>
      <c r="R95" s="77">
        <v>9.9</v>
      </c>
      <c r="S95" s="77">
        <v>100</v>
      </c>
      <c r="T95" s="77">
        <v>0</v>
      </c>
      <c r="U95" s="77">
        <v>0</v>
      </c>
      <c r="V95" s="77">
        <v>1</v>
      </c>
      <c r="W95" s="77">
        <v>0</v>
      </c>
      <c r="X95" s="77">
        <v>0</v>
      </c>
      <c r="Y95" s="77">
        <v>0</v>
      </c>
      <c r="Z95" s="78" t="s">
        <v>41</v>
      </c>
      <c r="AA95" s="351">
        <f>ROUNDUP(bhpc_data!$AI95/bhpc_data[[#This Row],[units_per_carton]],0)</f>
        <v>0</v>
      </c>
      <c r="AB95" s="351">
        <f>bhpc_data!$AJ95/bhpc_data[[#This Row],[units_per_carton]]</f>
        <v>0</v>
      </c>
      <c r="AC95" s="351">
        <f>(bhpc_data[[#This Row],[net_weight]]/bhpc_data[[#This Row],[units_per_carton]])*bhpc_data!$AK95*bhpc_data[[#This Row],[product1_weight]]</f>
        <v>0</v>
      </c>
      <c r="AD95" s="351">
        <f>(bhpc_data[[#This Row],[net_weight]]/bhpc_data[[#This Row],[units_per_carton]])*bhpc_data!$AK95*bhpc_data[[#This Row],[product2_weight]]</f>
        <v>0</v>
      </c>
      <c r="AE95" s="351">
        <f>(bhpc_data[[#This Row],[gross_weight]]/bhpc_data[[#This Row],[units_per_carton]])*bhpc_data!$AK95*bhpc_data[[#This Row],[product1_weight]]</f>
        <v>0</v>
      </c>
      <c r="AF95" s="351">
        <f>(bhpc_data[[#This Row],[gross_weight]]/bhpc_data[[#This Row],[units_per_carton]])*bhpc_data!$AK95*bhpc_data[[#This Row],[product2_weight]]</f>
        <v>0</v>
      </c>
      <c r="AG95" s="351">
        <f>(bhpc_data[[#This Row],[lenght]]*bhpc_data[[#This Row],[width]]*bhpc_data[[#This Row],[height]])/1000000000*bhpc_data!$AK95/bhpc_data[[#This Row],[units_per_carton]]*bhpc_data[[#This Row],[product1_weight]]</f>
        <v>0</v>
      </c>
      <c r="AH95" s="351">
        <f>(bhpc_data[[#This Row],[lenght]]*bhpc_data[[#This Row],[width]]*bhpc_data[[#This Row],[height]])/1000000000*bhpc_data!$AK95/bhpc_data[[#This Row],[units_per_carton]]*bhpc_data[[#This Row],[product2_weight]]</f>
        <v>0</v>
      </c>
      <c r="AI95" s="352">
        <f>SUMIF(productsSku,bhpc_data[[#This Row],[sku]],productsQty)+SUMIF(productsSku,bhpc_data[[#This Row],[sku]],productsDiscQty)</f>
        <v>0</v>
      </c>
      <c r="AJ95" s="352">
        <f>SUMIF(productsSku,bhpc_data[[#This Row],[sku]],productsFocQty)</f>
        <v>0</v>
      </c>
      <c r="AK95" s="353">
        <f>bhpc_data!$AI95+bhpc_data!$AJ95</f>
        <v>0</v>
      </c>
      <c r="AL95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95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95" s="551">
        <f>IF(bhpc_data[[#This Row],[hs_code]]="","",IF(bhpc_data[[#This Row],[hs_code]]="33030090",bhpc_data[[#This Row],[tot_order]]/bhpc_data[[#This Row],[units_per_carton]]*bhpc_data[[#This Row],[net_weight]],0))</f>
        <v>0</v>
      </c>
      <c r="AO95" s="568">
        <f>IFERROR(bhpc_data[[#This Row],[tot_order]]/bhpc_data[[#This Row],[units_per_carton]]/bhpc_data[[#This Row],[box_per_europallet]],"")</f>
        <v>0</v>
      </c>
      <c r="AP95" s="568" t="str">
        <f>IFERROR(bhpc_data[[#This Row],[tot_order]]/bhpc_data[[#This Row],[units_per_carton]]/bhpc_data[[#This Row],[box_per_pallet]],"")</f>
        <v/>
      </c>
      <c r="AQ95" s="581">
        <f>IFERROR(ROUNDUP(bhpc_data[[#This Row],[pallet_euro]],0),"")</f>
        <v>0</v>
      </c>
      <c r="AR95" s="581" t="str">
        <f>IFERROR(ROUNDUP(bhpc_data[[#This Row],[pallet]],0),"")</f>
        <v/>
      </c>
      <c r="AV95" s="77" t="s">
        <v>167</v>
      </c>
    </row>
    <row r="96" spans="1:48">
      <c r="A96" s="414" t="s">
        <v>529</v>
      </c>
      <c r="B96" s="414"/>
      <c r="C96" s="414"/>
      <c r="D96" s="414"/>
      <c r="E96" s="415"/>
      <c r="F96" s="592"/>
      <c r="G96" s="414" t="s">
        <v>530</v>
      </c>
      <c r="H96" s="416"/>
      <c r="I96" s="563"/>
      <c r="J96" s="563"/>
      <c r="K96" s="563"/>
      <c r="L96" s="563"/>
      <c r="M96" s="563"/>
      <c r="N96" s="414"/>
      <c r="O96" s="414"/>
      <c r="P96" s="414"/>
      <c r="Q96" s="414"/>
      <c r="R96" s="414"/>
      <c r="S96" s="414"/>
      <c r="T96" s="414"/>
      <c r="U96" s="414"/>
      <c r="V96" s="414"/>
      <c r="W96" s="414"/>
      <c r="X96" s="414"/>
      <c r="Y96" s="414"/>
      <c r="Z96" s="416"/>
      <c r="AA96" s="348"/>
      <c r="AB96" s="348"/>
      <c r="AC96" s="348"/>
      <c r="AD96" s="348"/>
      <c r="AE96" s="348"/>
      <c r="AF96" s="348"/>
      <c r="AG96" s="348"/>
      <c r="AH96" s="348"/>
      <c r="AI96" s="349"/>
      <c r="AJ96" s="349"/>
      <c r="AK96" s="350"/>
      <c r="AL96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96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96" s="551" t="str">
        <f>IF(bhpc_data[[#This Row],[hs_code]]="","",IF(bhpc_data[[#This Row],[hs_code]]="33030090",bhpc_data[[#This Row],[tot_order]]/bhpc_data[[#This Row],[units_per_carton]]*bhpc_data[[#This Row],[net_weight]],0))</f>
        <v/>
      </c>
      <c r="AO96" s="568" t="str">
        <f>IFERROR(bhpc_data[[#This Row],[tot_order]]/bhpc_data[[#This Row],[units_per_carton]]/bhpc_data[[#This Row],[box_per_europallet]],"")</f>
        <v/>
      </c>
      <c r="AP96" s="568" t="str">
        <f>IFERROR(bhpc_data[[#This Row],[tot_order]]/bhpc_data[[#This Row],[units_per_carton]]/bhpc_data[[#This Row],[box_per_pallet]],"")</f>
        <v/>
      </c>
      <c r="AQ96" s="581" t="str">
        <f>IFERROR(ROUNDUP(bhpc_data[[#This Row],[pallet_euro]],0),"")</f>
        <v/>
      </c>
      <c r="AR96" s="581" t="str">
        <f>IFERROR(ROUNDUP(bhpc_data[[#This Row],[pallet]],0),"")</f>
        <v/>
      </c>
    </row>
    <row r="97" spans="1:44">
      <c r="A97" s="414" t="s">
        <v>531</v>
      </c>
      <c r="B97" s="414"/>
      <c r="C97" s="414"/>
      <c r="D97" s="414"/>
      <c r="E97" s="415"/>
      <c r="F97" s="592"/>
      <c r="G97" s="414" t="s">
        <v>532</v>
      </c>
      <c r="H97" s="416"/>
      <c r="I97" s="563"/>
      <c r="J97" s="563"/>
      <c r="K97" s="563"/>
      <c r="L97" s="563"/>
      <c r="M97" s="563"/>
      <c r="N97" s="414"/>
      <c r="O97" s="414"/>
      <c r="P97" s="414"/>
      <c r="Q97" s="414"/>
      <c r="R97" s="414"/>
      <c r="S97" s="414"/>
      <c r="T97" s="414"/>
      <c r="U97" s="414"/>
      <c r="V97" s="414"/>
      <c r="W97" s="414"/>
      <c r="X97" s="414"/>
      <c r="Y97" s="414"/>
      <c r="Z97" s="416"/>
      <c r="AA97" s="351"/>
      <c r="AB97" s="351"/>
      <c r="AC97" s="351"/>
      <c r="AD97" s="351"/>
      <c r="AE97" s="351"/>
      <c r="AF97" s="351"/>
      <c r="AG97" s="351"/>
      <c r="AH97" s="351"/>
      <c r="AI97" s="352"/>
      <c r="AJ97" s="352"/>
      <c r="AK97" s="353"/>
      <c r="AL97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97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97" s="551" t="str">
        <f>IF(bhpc_data[[#This Row],[hs_code]]="","",IF(bhpc_data[[#This Row],[hs_code]]="33030090",bhpc_data[[#This Row],[tot_order]]/bhpc_data[[#This Row],[units_per_carton]]*bhpc_data[[#This Row],[net_weight]],0))</f>
        <v/>
      </c>
      <c r="AO97" s="568" t="str">
        <f>IFERROR(bhpc_data[[#This Row],[tot_order]]/bhpc_data[[#This Row],[units_per_carton]]/bhpc_data[[#This Row],[box_per_europallet]],"")</f>
        <v/>
      </c>
      <c r="AP97" s="568" t="str">
        <f>IFERROR(bhpc_data[[#This Row],[tot_order]]/bhpc_data[[#This Row],[units_per_carton]]/bhpc_data[[#This Row],[box_per_pallet]],"")</f>
        <v/>
      </c>
      <c r="AQ97" s="581" t="str">
        <f>IFERROR(ROUNDUP(bhpc_data[[#This Row],[pallet_euro]],0),"")</f>
        <v/>
      </c>
      <c r="AR97" s="581" t="str">
        <f>IFERROR(ROUNDUP(bhpc_data[[#This Row],[pallet]],0),"")</f>
        <v/>
      </c>
    </row>
    <row r="98" spans="1:44">
      <c r="A98" s="414" t="s">
        <v>951</v>
      </c>
      <c r="B98" s="414"/>
      <c r="C98" s="414"/>
      <c r="D98" s="414"/>
      <c r="E98" s="415"/>
      <c r="F98" s="592"/>
      <c r="G98" s="414" t="s">
        <v>959</v>
      </c>
      <c r="H98" s="416"/>
      <c r="I98" s="563"/>
      <c r="J98" s="563"/>
      <c r="K98" s="563"/>
      <c r="L98" s="563"/>
      <c r="M98" s="563"/>
      <c r="N98" s="414"/>
      <c r="O98" s="414"/>
      <c r="P98" s="414"/>
      <c r="Q98" s="414"/>
      <c r="R98" s="414"/>
      <c r="S98" s="414"/>
      <c r="T98" s="414"/>
      <c r="U98" s="414"/>
      <c r="V98" s="414"/>
      <c r="W98" s="414"/>
      <c r="X98" s="414"/>
      <c r="Y98" s="414"/>
      <c r="Z98" s="416"/>
      <c r="AA98" s="348"/>
      <c r="AB98" s="348"/>
      <c r="AC98" s="348"/>
      <c r="AD98" s="348"/>
      <c r="AE98" s="348"/>
      <c r="AF98" s="348"/>
      <c r="AG98" s="348"/>
      <c r="AH98" s="348"/>
      <c r="AI98" s="349"/>
      <c r="AJ98" s="349"/>
      <c r="AK98" s="350"/>
      <c r="AL98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98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98" s="551" t="str">
        <f>IF(bhpc_data[[#This Row],[hs_code]]="","",IF(bhpc_data[[#This Row],[hs_code]]="33030090",bhpc_data[[#This Row],[tot_order]]/bhpc_data[[#This Row],[units_per_carton]]*bhpc_data[[#This Row],[net_weight]],0))</f>
        <v/>
      </c>
      <c r="AO98" s="568" t="str">
        <f>IFERROR(bhpc_data[[#This Row],[tot_order]]/bhpc_data[[#This Row],[units_per_carton]]/bhpc_data[[#This Row],[box_per_europallet]],"")</f>
        <v/>
      </c>
      <c r="AP98" s="568" t="str">
        <f>IFERROR(bhpc_data[[#This Row],[tot_order]]/bhpc_data[[#This Row],[units_per_carton]]/bhpc_data[[#This Row],[box_per_pallet]],"")</f>
        <v/>
      </c>
      <c r="AQ98" s="581" t="str">
        <f>IFERROR(ROUNDUP(bhpc_data[[#This Row],[pallet_euro]],0),"")</f>
        <v/>
      </c>
      <c r="AR98" s="581" t="str">
        <f>IFERROR(ROUNDUP(bhpc_data[[#This Row],[pallet]],0),"")</f>
        <v/>
      </c>
    </row>
    <row r="99" spans="1:44">
      <c r="A99" s="414" t="s">
        <v>952</v>
      </c>
      <c r="B99" s="414"/>
      <c r="C99" s="414"/>
      <c r="D99" s="414"/>
      <c r="E99" s="415"/>
      <c r="F99" s="592"/>
      <c r="G99" s="414" t="s">
        <v>960</v>
      </c>
      <c r="H99" s="416"/>
      <c r="I99" s="563"/>
      <c r="J99" s="563"/>
      <c r="K99" s="563"/>
      <c r="L99" s="563"/>
      <c r="M99" s="563"/>
      <c r="N99" s="414"/>
      <c r="O99" s="414"/>
      <c r="P99" s="414"/>
      <c r="Q99" s="414"/>
      <c r="R99" s="414"/>
      <c r="S99" s="414"/>
      <c r="T99" s="414"/>
      <c r="U99" s="414"/>
      <c r="V99" s="414"/>
      <c r="W99" s="414"/>
      <c r="X99" s="414"/>
      <c r="Y99" s="414"/>
      <c r="Z99" s="416"/>
      <c r="AA99" s="351"/>
      <c r="AB99" s="351"/>
      <c r="AC99" s="351"/>
      <c r="AD99" s="351"/>
      <c r="AE99" s="351"/>
      <c r="AF99" s="351"/>
      <c r="AG99" s="351"/>
      <c r="AH99" s="351"/>
      <c r="AI99" s="352"/>
      <c r="AJ99" s="352"/>
      <c r="AK99" s="353"/>
      <c r="AL99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99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99" s="551" t="str">
        <f>IF(bhpc_data[[#This Row],[hs_code]]="","",IF(bhpc_data[[#This Row],[hs_code]]="33030090",bhpc_data[[#This Row],[tot_order]]/bhpc_data[[#This Row],[units_per_carton]]*bhpc_data[[#This Row],[net_weight]],0))</f>
        <v/>
      </c>
      <c r="AO99" s="568" t="str">
        <f>IFERROR(bhpc_data[[#This Row],[tot_order]]/bhpc_data[[#This Row],[units_per_carton]]/bhpc_data[[#This Row],[box_per_europallet]],"")</f>
        <v/>
      </c>
      <c r="AP99" s="568" t="str">
        <f>IFERROR(bhpc_data[[#This Row],[tot_order]]/bhpc_data[[#This Row],[units_per_carton]]/bhpc_data[[#This Row],[box_per_pallet]],"")</f>
        <v/>
      </c>
      <c r="AQ99" s="581" t="str">
        <f>IFERROR(ROUNDUP(bhpc_data[[#This Row],[pallet_euro]],0),"")</f>
        <v/>
      </c>
      <c r="AR99" s="581" t="str">
        <f>IFERROR(ROUNDUP(bhpc_data[[#This Row],[pallet]],0),"")</f>
        <v/>
      </c>
    </row>
    <row r="100" spans="1:44">
      <c r="A100" s="414" t="s">
        <v>953</v>
      </c>
      <c r="B100" s="414"/>
      <c r="C100" s="414"/>
      <c r="D100" s="414"/>
      <c r="E100" s="415"/>
      <c r="F100" s="592"/>
      <c r="G100" s="414" t="s">
        <v>961</v>
      </c>
      <c r="H100" s="416"/>
      <c r="I100" s="563"/>
      <c r="J100" s="563"/>
      <c r="K100" s="563"/>
      <c r="L100" s="563"/>
      <c r="M100" s="563"/>
      <c r="N100" s="414"/>
      <c r="O100" s="414"/>
      <c r="P100" s="414"/>
      <c r="Q100" s="414"/>
      <c r="R100" s="414"/>
      <c r="S100" s="414"/>
      <c r="T100" s="414"/>
      <c r="U100" s="414"/>
      <c r="V100" s="414"/>
      <c r="W100" s="414"/>
      <c r="X100" s="414"/>
      <c r="Y100" s="414"/>
      <c r="Z100" s="416"/>
      <c r="AA100" s="348"/>
      <c r="AB100" s="348"/>
      <c r="AC100" s="348"/>
      <c r="AD100" s="348"/>
      <c r="AE100" s="348"/>
      <c r="AF100" s="348"/>
      <c r="AG100" s="348"/>
      <c r="AH100" s="348"/>
      <c r="AI100" s="349"/>
      <c r="AJ100" s="349"/>
      <c r="AK100" s="350"/>
      <c r="AL100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0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0" s="551" t="str">
        <f>IF(bhpc_data[[#This Row],[hs_code]]="","",IF(bhpc_data[[#This Row],[hs_code]]="33030090",bhpc_data[[#This Row],[tot_order]]/bhpc_data[[#This Row],[units_per_carton]]*bhpc_data[[#This Row],[net_weight]],0))</f>
        <v/>
      </c>
      <c r="AO100" s="568" t="str">
        <f>IFERROR(bhpc_data[[#This Row],[tot_order]]/bhpc_data[[#This Row],[units_per_carton]]/bhpc_data[[#This Row],[box_per_europallet]],"")</f>
        <v/>
      </c>
      <c r="AP100" s="568" t="str">
        <f>IFERROR(bhpc_data[[#This Row],[tot_order]]/bhpc_data[[#This Row],[units_per_carton]]/bhpc_data[[#This Row],[box_per_pallet]],"")</f>
        <v/>
      </c>
      <c r="AQ100" s="581" t="str">
        <f>IFERROR(ROUNDUP(bhpc_data[[#This Row],[pallet_euro]],0),"")</f>
        <v/>
      </c>
      <c r="AR100" s="581" t="str">
        <f>IFERROR(ROUNDUP(bhpc_data[[#This Row],[pallet]],0),"")</f>
        <v/>
      </c>
    </row>
    <row r="101" spans="1:44">
      <c r="A101" s="414" t="s">
        <v>954</v>
      </c>
      <c r="B101" s="414"/>
      <c r="C101" s="414"/>
      <c r="D101" s="414"/>
      <c r="E101" s="415"/>
      <c r="F101" s="592"/>
      <c r="G101" s="414" t="s">
        <v>962</v>
      </c>
      <c r="H101" s="416"/>
      <c r="I101" s="563"/>
      <c r="J101" s="563"/>
      <c r="K101" s="563"/>
      <c r="L101" s="563"/>
      <c r="M101" s="563"/>
      <c r="N101" s="414"/>
      <c r="O101" s="414"/>
      <c r="P101" s="414"/>
      <c r="Q101" s="414"/>
      <c r="R101" s="414"/>
      <c r="S101" s="414"/>
      <c r="T101" s="414"/>
      <c r="U101" s="414"/>
      <c r="V101" s="414"/>
      <c r="W101" s="414"/>
      <c r="X101" s="414"/>
      <c r="Y101" s="414"/>
      <c r="Z101" s="416"/>
      <c r="AA101" s="351"/>
      <c r="AB101" s="351"/>
      <c r="AC101" s="351"/>
      <c r="AD101" s="351"/>
      <c r="AE101" s="351"/>
      <c r="AF101" s="351"/>
      <c r="AG101" s="351"/>
      <c r="AH101" s="351"/>
      <c r="AI101" s="352"/>
      <c r="AJ101" s="352"/>
      <c r="AK101" s="353"/>
      <c r="AL101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1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1" s="551" t="str">
        <f>IF(bhpc_data[[#This Row],[hs_code]]="","",IF(bhpc_data[[#This Row],[hs_code]]="33030090",bhpc_data[[#This Row],[tot_order]]/bhpc_data[[#This Row],[units_per_carton]]*bhpc_data[[#This Row],[net_weight]],0))</f>
        <v/>
      </c>
      <c r="AO101" s="568" t="str">
        <f>IFERROR(bhpc_data[[#This Row],[tot_order]]/bhpc_data[[#This Row],[units_per_carton]]/bhpc_data[[#This Row],[box_per_europallet]],"")</f>
        <v/>
      </c>
      <c r="AP101" s="568" t="str">
        <f>IFERROR(bhpc_data[[#This Row],[tot_order]]/bhpc_data[[#This Row],[units_per_carton]]/bhpc_data[[#This Row],[box_per_pallet]],"")</f>
        <v/>
      </c>
      <c r="AQ101" s="581" t="str">
        <f>IFERROR(ROUNDUP(bhpc_data[[#This Row],[pallet_euro]],0),"")</f>
        <v/>
      </c>
      <c r="AR101" s="581" t="str">
        <f>IFERROR(ROUNDUP(bhpc_data[[#This Row],[pallet]],0),"")</f>
        <v/>
      </c>
    </row>
    <row r="102" spans="1:44">
      <c r="A102" s="414" t="s">
        <v>963</v>
      </c>
      <c r="B102" s="414"/>
      <c r="C102" s="414"/>
      <c r="D102" s="414"/>
      <c r="E102" s="415"/>
      <c r="F102" s="592"/>
      <c r="G102" s="414" t="s">
        <v>964</v>
      </c>
      <c r="H102" s="416"/>
      <c r="I102" s="563"/>
      <c r="J102" s="563"/>
      <c r="K102" s="563"/>
      <c r="L102" s="563"/>
      <c r="M102" s="563"/>
      <c r="N102" s="414"/>
      <c r="O102" s="414"/>
      <c r="P102" s="414"/>
      <c r="Q102" s="414"/>
      <c r="R102" s="414"/>
      <c r="S102" s="414"/>
      <c r="T102" s="414"/>
      <c r="U102" s="414"/>
      <c r="V102" s="414"/>
      <c r="W102" s="414"/>
      <c r="X102" s="414"/>
      <c r="Y102" s="414"/>
      <c r="Z102" s="416"/>
      <c r="AA102" s="348"/>
      <c r="AB102" s="348"/>
      <c r="AC102" s="348"/>
      <c r="AD102" s="348"/>
      <c r="AE102" s="348"/>
      <c r="AF102" s="348"/>
      <c r="AG102" s="348"/>
      <c r="AH102" s="348"/>
      <c r="AI102" s="349"/>
      <c r="AJ102" s="349"/>
      <c r="AK102" s="350"/>
      <c r="AL102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2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2" s="551" t="str">
        <f>IF(bhpc_data[[#This Row],[hs_code]]="","",IF(bhpc_data[[#This Row],[hs_code]]="33030090",bhpc_data[[#This Row],[tot_order]]/bhpc_data[[#This Row],[units_per_carton]]*bhpc_data[[#This Row],[net_weight]],0))</f>
        <v/>
      </c>
      <c r="AO102" s="568" t="str">
        <f>IFERROR(bhpc_data[[#This Row],[tot_order]]/bhpc_data[[#This Row],[units_per_carton]]/bhpc_data[[#This Row],[box_per_europallet]],"")</f>
        <v/>
      </c>
      <c r="AP102" s="568" t="str">
        <f>IFERROR(bhpc_data[[#This Row],[tot_order]]/bhpc_data[[#This Row],[units_per_carton]]/bhpc_data[[#This Row],[box_per_pallet]],"")</f>
        <v/>
      </c>
      <c r="AQ102" s="581" t="str">
        <f>IFERROR(ROUNDUP(bhpc_data[[#This Row],[pallet_euro]],0),"")</f>
        <v/>
      </c>
      <c r="AR102" s="581" t="str">
        <f>IFERROR(ROUNDUP(bhpc_data[[#This Row],[pallet]],0),"")</f>
        <v/>
      </c>
    </row>
    <row r="103" spans="1:44">
      <c r="A103" s="414" t="s">
        <v>965</v>
      </c>
      <c r="B103" s="414"/>
      <c r="C103" s="414"/>
      <c r="D103" s="414"/>
      <c r="E103" s="415"/>
      <c r="F103" s="592"/>
      <c r="G103" s="414" t="s">
        <v>966</v>
      </c>
      <c r="H103" s="416"/>
      <c r="I103" s="563"/>
      <c r="J103" s="563"/>
      <c r="K103" s="563"/>
      <c r="L103" s="563"/>
      <c r="M103" s="563"/>
      <c r="N103" s="414"/>
      <c r="O103" s="414"/>
      <c r="P103" s="414"/>
      <c r="Q103" s="414"/>
      <c r="R103" s="414"/>
      <c r="S103" s="414"/>
      <c r="T103" s="414"/>
      <c r="U103" s="414"/>
      <c r="V103" s="414"/>
      <c r="W103" s="414"/>
      <c r="X103" s="414"/>
      <c r="Y103" s="414"/>
      <c r="Z103" s="416"/>
      <c r="AA103" s="351"/>
      <c r="AB103" s="351"/>
      <c r="AC103" s="351"/>
      <c r="AD103" s="351"/>
      <c r="AE103" s="351"/>
      <c r="AF103" s="351"/>
      <c r="AG103" s="351"/>
      <c r="AH103" s="351"/>
      <c r="AI103" s="352"/>
      <c r="AJ103" s="352"/>
      <c r="AK103" s="353"/>
      <c r="AL103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3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3" s="551" t="str">
        <f>IF(bhpc_data[[#This Row],[hs_code]]="","",IF(bhpc_data[[#This Row],[hs_code]]="33030090",bhpc_data[[#This Row],[tot_order]]/bhpc_data[[#This Row],[units_per_carton]]*bhpc_data[[#This Row],[net_weight]],0))</f>
        <v/>
      </c>
      <c r="AO103" s="568" t="str">
        <f>IFERROR(bhpc_data[[#This Row],[tot_order]]/bhpc_data[[#This Row],[units_per_carton]]/bhpc_data[[#This Row],[box_per_europallet]],"")</f>
        <v/>
      </c>
      <c r="AP103" s="568" t="str">
        <f>IFERROR(bhpc_data[[#This Row],[tot_order]]/bhpc_data[[#This Row],[units_per_carton]]/bhpc_data[[#This Row],[box_per_pallet]],"")</f>
        <v/>
      </c>
      <c r="AQ103" s="581" t="str">
        <f>IFERROR(ROUNDUP(bhpc_data[[#This Row],[pallet_euro]],0),"")</f>
        <v/>
      </c>
      <c r="AR103" s="581" t="str">
        <f>IFERROR(ROUNDUP(bhpc_data[[#This Row],[pallet]],0),"")</f>
        <v/>
      </c>
    </row>
    <row r="104" spans="1:44">
      <c r="A104" s="414" t="s">
        <v>967</v>
      </c>
      <c r="B104" s="414"/>
      <c r="C104" s="414"/>
      <c r="D104" s="414"/>
      <c r="E104" s="415"/>
      <c r="F104" s="592"/>
      <c r="G104" s="414" t="s">
        <v>968</v>
      </c>
      <c r="H104" s="416"/>
      <c r="I104" s="563"/>
      <c r="J104" s="563"/>
      <c r="K104" s="563"/>
      <c r="L104" s="563"/>
      <c r="M104" s="563"/>
      <c r="N104" s="414"/>
      <c r="O104" s="414"/>
      <c r="P104" s="414"/>
      <c r="Q104" s="414"/>
      <c r="R104" s="414"/>
      <c r="S104" s="414"/>
      <c r="T104" s="414"/>
      <c r="U104" s="414"/>
      <c r="V104" s="414"/>
      <c r="W104" s="414"/>
      <c r="X104" s="414"/>
      <c r="Y104" s="414"/>
      <c r="Z104" s="416"/>
      <c r="AA104" s="348"/>
      <c r="AB104" s="348"/>
      <c r="AC104" s="348"/>
      <c r="AD104" s="348"/>
      <c r="AE104" s="348"/>
      <c r="AF104" s="348"/>
      <c r="AG104" s="348"/>
      <c r="AH104" s="348"/>
      <c r="AI104" s="349"/>
      <c r="AJ104" s="349"/>
      <c r="AK104" s="350"/>
      <c r="AL104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4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4" s="551" t="str">
        <f>IF(bhpc_data[[#This Row],[hs_code]]="","",IF(bhpc_data[[#This Row],[hs_code]]="33030090",bhpc_data[[#This Row],[tot_order]]/bhpc_data[[#This Row],[units_per_carton]]*bhpc_data[[#This Row],[net_weight]],0))</f>
        <v/>
      </c>
      <c r="AO104" s="568" t="str">
        <f>IFERROR(bhpc_data[[#This Row],[tot_order]]/bhpc_data[[#This Row],[units_per_carton]]/bhpc_data[[#This Row],[box_per_europallet]],"")</f>
        <v/>
      </c>
      <c r="AP104" s="568" t="str">
        <f>IFERROR(bhpc_data[[#This Row],[tot_order]]/bhpc_data[[#This Row],[units_per_carton]]/bhpc_data[[#This Row],[box_per_pallet]],"")</f>
        <v/>
      </c>
      <c r="AQ104" s="581" t="str">
        <f>IFERROR(ROUNDUP(bhpc_data[[#This Row],[pallet_euro]],0),"")</f>
        <v/>
      </c>
      <c r="AR104" s="581" t="str">
        <f>IFERROR(ROUNDUP(bhpc_data[[#This Row],[pallet]],0),"")</f>
        <v/>
      </c>
    </row>
    <row r="105" spans="1:44">
      <c r="A105" s="414" t="s">
        <v>969</v>
      </c>
      <c r="B105" s="414"/>
      <c r="C105" s="414"/>
      <c r="D105" s="414"/>
      <c r="E105" s="415"/>
      <c r="F105" s="592"/>
      <c r="G105" s="414" t="s">
        <v>970</v>
      </c>
      <c r="H105" s="416"/>
      <c r="I105" s="563"/>
      <c r="J105" s="563"/>
      <c r="K105" s="563"/>
      <c r="L105" s="563"/>
      <c r="M105" s="563"/>
      <c r="N105" s="414"/>
      <c r="O105" s="414"/>
      <c r="P105" s="414"/>
      <c r="Q105" s="414"/>
      <c r="R105" s="414"/>
      <c r="S105" s="414"/>
      <c r="T105" s="414"/>
      <c r="U105" s="414"/>
      <c r="V105" s="414"/>
      <c r="W105" s="414"/>
      <c r="X105" s="414"/>
      <c r="Y105" s="414"/>
      <c r="Z105" s="416"/>
      <c r="AA105" s="351"/>
      <c r="AB105" s="351"/>
      <c r="AC105" s="351"/>
      <c r="AD105" s="351"/>
      <c r="AE105" s="351"/>
      <c r="AF105" s="351"/>
      <c r="AG105" s="351"/>
      <c r="AH105" s="351"/>
      <c r="AI105" s="352"/>
      <c r="AJ105" s="352"/>
      <c r="AK105" s="353"/>
      <c r="AL105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5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5" s="551" t="str">
        <f>IF(bhpc_data[[#This Row],[hs_code]]="","",IF(bhpc_data[[#This Row],[hs_code]]="33030090",bhpc_data[[#This Row],[tot_order]]/bhpc_data[[#This Row],[units_per_carton]]*bhpc_data[[#This Row],[net_weight]],0))</f>
        <v/>
      </c>
      <c r="AO105" s="568" t="str">
        <f>IFERROR(bhpc_data[[#This Row],[tot_order]]/bhpc_data[[#This Row],[units_per_carton]]/bhpc_data[[#This Row],[box_per_europallet]],"")</f>
        <v/>
      </c>
      <c r="AP105" s="568" t="str">
        <f>IFERROR(bhpc_data[[#This Row],[tot_order]]/bhpc_data[[#This Row],[units_per_carton]]/bhpc_data[[#This Row],[box_per_pallet]],"")</f>
        <v/>
      </c>
      <c r="AQ105" s="581" t="str">
        <f>IFERROR(ROUNDUP(bhpc_data[[#This Row],[pallet_euro]],0),"")</f>
        <v/>
      </c>
      <c r="AR105" s="581" t="str">
        <f>IFERROR(ROUNDUP(bhpc_data[[#This Row],[pallet]],0),"")</f>
        <v/>
      </c>
    </row>
    <row r="106" spans="1:44">
      <c r="A106" s="414" t="s">
        <v>971</v>
      </c>
      <c r="B106" s="414"/>
      <c r="C106" s="414"/>
      <c r="D106" s="414"/>
      <c r="E106" s="415"/>
      <c r="F106" s="592"/>
      <c r="G106" s="414" t="s">
        <v>972</v>
      </c>
      <c r="H106" s="416"/>
      <c r="I106" s="563"/>
      <c r="J106" s="563"/>
      <c r="K106" s="563"/>
      <c r="L106" s="563"/>
      <c r="M106" s="563"/>
      <c r="N106" s="414"/>
      <c r="O106" s="414"/>
      <c r="P106" s="414"/>
      <c r="Q106" s="414"/>
      <c r="R106" s="414"/>
      <c r="S106" s="414"/>
      <c r="T106" s="414"/>
      <c r="U106" s="414"/>
      <c r="V106" s="414"/>
      <c r="W106" s="414"/>
      <c r="X106" s="414"/>
      <c r="Y106" s="414"/>
      <c r="Z106" s="416"/>
      <c r="AA106" s="348"/>
      <c r="AB106" s="348"/>
      <c r="AC106" s="348"/>
      <c r="AD106" s="348"/>
      <c r="AE106" s="348"/>
      <c r="AF106" s="348"/>
      <c r="AG106" s="348"/>
      <c r="AH106" s="348"/>
      <c r="AI106" s="349"/>
      <c r="AJ106" s="349"/>
      <c r="AK106" s="350"/>
      <c r="AL106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6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6" s="551" t="str">
        <f>IF(bhpc_data[[#This Row],[hs_code]]="","",IF(bhpc_data[[#This Row],[hs_code]]="33030090",bhpc_data[[#This Row],[tot_order]]/bhpc_data[[#This Row],[units_per_carton]]*bhpc_data[[#This Row],[net_weight]],0))</f>
        <v/>
      </c>
      <c r="AO106" s="568" t="str">
        <f>IFERROR(bhpc_data[[#This Row],[tot_order]]/bhpc_data[[#This Row],[units_per_carton]]/bhpc_data[[#This Row],[box_per_europallet]],"")</f>
        <v/>
      </c>
      <c r="AP106" s="568" t="str">
        <f>IFERROR(bhpc_data[[#This Row],[tot_order]]/bhpc_data[[#This Row],[units_per_carton]]/bhpc_data[[#This Row],[box_per_pallet]],"")</f>
        <v/>
      </c>
      <c r="AQ106" s="581" t="str">
        <f>IFERROR(ROUNDUP(bhpc_data[[#This Row],[pallet_euro]],0),"")</f>
        <v/>
      </c>
      <c r="AR106" s="581" t="str">
        <f>IFERROR(ROUNDUP(bhpc_data[[#This Row],[pallet]],0),"")</f>
        <v/>
      </c>
    </row>
    <row r="107" spans="1:44">
      <c r="A107" s="414" t="s">
        <v>973</v>
      </c>
      <c r="B107" s="414"/>
      <c r="C107" s="414"/>
      <c r="D107" s="414"/>
      <c r="E107" s="415"/>
      <c r="F107" s="592"/>
      <c r="G107" s="414" t="s">
        <v>974</v>
      </c>
      <c r="H107" s="416"/>
      <c r="I107" s="563"/>
      <c r="J107" s="563"/>
      <c r="K107" s="563"/>
      <c r="L107" s="563"/>
      <c r="M107" s="563"/>
      <c r="N107" s="414"/>
      <c r="O107" s="414"/>
      <c r="P107" s="414"/>
      <c r="Q107" s="414"/>
      <c r="R107" s="414"/>
      <c r="S107" s="414"/>
      <c r="T107" s="414"/>
      <c r="U107" s="414"/>
      <c r="V107" s="414"/>
      <c r="W107" s="414"/>
      <c r="X107" s="414"/>
      <c r="Y107" s="414"/>
      <c r="Z107" s="416"/>
      <c r="AA107" s="351"/>
      <c r="AB107" s="351"/>
      <c r="AC107" s="351"/>
      <c r="AD107" s="351"/>
      <c r="AE107" s="351"/>
      <c r="AF107" s="351"/>
      <c r="AG107" s="351"/>
      <c r="AH107" s="351"/>
      <c r="AI107" s="352"/>
      <c r="AJ107" s="352"/>
      <c r="AK107" s="353"/>
      <c r="AL107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7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7" s="551" t="str">
        <f>IF(bhpc_data[[#This Row],[hs_code]]="","",IF(bhpc_data[[#This Row],[hs_code]]="33030090",bhpc_data[[#This Row],[tot_order]]/bhpc_data[[#This Row],[units_per_carton]]*bhpc_data[[#This Row],[net_weight]],0))</f>
        <v/>
      </c>
      <c r="AO107" s="568" t="str">
        <f>IFERROR(bhpc_data[[#This Row],[tot_order]]/bhpc_data[[#This Row],[units_per_carton]]/bhpc_data[[#This Row],[box_per_europallet]],"")</f>
        <v/>
      </c>
      <c r="AP107" s="568" t="str">
        <f>IFERROR(bhpc_data[[#This Row],[tot_order]]/bhpc_data[[#This Row],[units_per_carton]]/bhpc_data[[#This Row],[box_per_pallet]],"")</f>
        <v/>
      </c>
      <c r="AQ107" s="581" t="str">
        <f>IFERROR(ROUNDUP(bhpc_data[[#This Row],[pallet_euro]],0),"")</f>
        <v/>
      </c>
      <c r="AR107" s="581" t="str">
        <f>IFERROR(ROUNDUP(bhpc_data[[#This Row],[pallet]],0),"")</f>
        <v/>
      </c>
    </row>
    <row r="108" spans="1:44">
      <c r="A108" s="414" t="s">
        <v>975</v>
      </c>
      <c r="B108" s="414"/>
      <c r="C108" s="414"/>
      <c r="D108" s="414"/>
      <c r="E108" s="415"/>
      <c r="F108" s="592"/>
      <c r="G108" s="414" t="s">
        <v>976</v>
      </c>
      <c r="H108" s="416"/>
      <c r="I108" s="563"/>
      <c r="J108" s="563"/>
      <c r="K108" s="563"/>
      <c r="L108" s="563"/>
      <c r="M108" s="563"/>
      <c r="N108" s="414"/>
      <c r="O108" s="414"/>
      <c r="P108" s="414"/>
      <c r="Q108" s="414"/>
      <c r="R108" s="414"/>
      <c r="S108" s="414"/>
      <c r="T108" s="414"/>
      <c r="U108" s="414"/>
      <c r="V108" s="414"/>
      <c r="W108" s="414"/>
      <c r="X108" s="414"/>
      <c r="Y108" s="414"/>
      <c r="Z108" s="416"/>
      <c r="AA108" s="348"/>
      <c r="AB108" s="348"/>
      <c r="AC108" s="348"/>
      <c r="AD108" s="348"/>
      <c r="AE108" s="348"/>
      <c r="AF108" s="348"/>
      <c r="AG108" s="348"/>
      <c r="AH108" s="348"/>
      <c r="AI108" s="349"/>
      <c r="AJ108" s="349"/>
      <c r="AK108" s="350"/>
      <c r="AL108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8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8" s="551" t="str">
        <f>IF(bhpc_data[[#This Row],[hs_code]]="","",IF(bhpc_data[[#This Row],[hs_code]]="33030090",bhpc_data[[#This Row],[tot_order]]/bhpc_data[[#This Row],[units_per_carton]]*bhpc_data[[#This Row],[net_weight]],0))</f>
        <v/>
      </c>
      <c r="AO108" s="568" t="str">
        <f>IFERROR(bhpc_data[[#This Row],[tot_order]]/bhpc_data[[#This Row],[units_per_carton]]/bhpc_data[[#This Row],[box_per_europallet]],"")</f>
        <v/>
      </c>
      <c r="AP108" s="568" t="str">
        <f>IFERROR(bhpc_data[[#This Row],[tot_order]]/bhpc_data[[#This Row],[units_per_carton]]/bhpc_data[[#This Row],[box_per_pallet]],"")</f>
        <v/>
      </c>
      <c r="AQ108" s="581" t="str">
        <f>IFERROR(ROUNDUP(bhpc_data[[#This Row],[pallet_euro]],0),"")</f>
        <v/>
      </c>
      <c r="AR108" s="581" t="str">
        <f>IFERROR(ROUNDUP(bhpc_data[[#This Row],[pallet]],0),"")</f>
        <v/>
      </c>
    </row>
    <row r="109" spans="1:44">
      <c r="A109" s="414" t="s">
        <v>977</v>
      </c>
      <c r="B109" s="414"/>
      <c r="C109" s="414"/>
      <c r="D109" s="414"/>
      <c r="E109" s="415"/>
      <c r="F109" s="592"/>
      <c r="G109" s="414" t="s">
        <v>978</v>
      </c>
      <c r="H109" s="416"/>
      <c r="I109" s="563"/>
      <c r="J109" s="563"/>
      <c r="K109" s="563"/>
      <c r="L109" s="563"/>
      <c r="M109" s="563"/>
      <c r="N109" s="414"/>
      <c r="O109" s="414"/>
      <c r="P109" s="414"/>
      <c r="Q109" s="414"/>
      <c r="R109" s="414"/>
      <c r="S109" s="414"/>
      <c r="T109" s="414"/>
      <c r="U109" s="414"/>
      <c r="V109" s="414"/>
      <c r="W109" s="414"/>
      <c r="X109" s="414"/>
      <c r="Y109" s="414"/>
      <c r="Z109" s="416"/>
      <c r="AA109" s="351"/>
      <c r="AB109" s="351"/>
      <c r="AC109" s="351"/>
      <c r="AD109" s="351"/>
      <c r="AE109" s="351"/>
      <c r="AF109" s="351"/>
      <c r="AG109" s="351"/>
      <c r="AH109" s="351"/>
      <c r="AI109" s="352"/>
      <c r="AJ109" s="352"/>
      <c r="AK109" s="353"/>
      <c r="AL109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09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09" s="551" t="str">
        <f>IF(bhpc_data[[#This Row],[hs_code]]="","",IF(bhpc_data[[#This Row],[hs_code]]="33030090",bhpc_data[[#This Row],[tot_order]]/bhpc_data[[#This Row],[units_per_carton]]*bhpc_data[[#This Row],[net_weight]],0))</f>
        <v/>
      </c>
      <c r="AO109" s="568" t="str">
        <f>IFERROR(bhpc_data[[#This Row],[tot_order]]/bhpc_data[[#This Row],[units_per_carton]]/bhpc_data[[#This Row],[box_per_europallet]],"")</f>
        <v/>
      </c>
      <c r="AP109" s="568" t="str">
        <f>IFERROR(bhpc_data[[#This Row],[tot_order]]/bhpc_data[[#This Row],[units_per_carton]]/bhpc_data[[#This Row],[box_per_pallet]],"")</f>
        <v/>
      </c>
      <c r="AQ109" s="581" t="str">
        <f>IFERROR(ROUNDUP(bhpc_data[[#This Row],[pallet_euro]],0),"")</f>
        <v/>
      </c>
      <c r="AR109" s="581" t="str">
        <f>IFERROR(ROUNDUP(bhpc_data[[#This Row],[pallet]],0),"")</f>
        <v/>
      </c>
    </row>
    <row r="110" spans="1:44">
      <c r="A110" s="414" t="s">
        <v>955</v>
      </c>
      <c r="B110" s="414"/>
      <c r="C110" s="414"/>
      <c r="D110" s="414"/>
      <c r="E110" s="415"/>
      <c r="F110" s="592"/>
      <c r="G110" s="414" t="s">
        <v>979</v>
      </c>
      <c r="H110" s="416"/>
      <c r="I110" s="563"/>
      <c r="J110" s="563"/>
      <c r="K110" s="563"/>
      <c r="L110" s="563"/>
      <c r="M110" s="563"/>
      <c r="N110" s="414"/>
      <c r="O110" s="414"/>
      <c r="P110" s="414"/>
      <c r="Q110" s="414"/>
      <c r="R110" s="414"/>
      <c r="S110" s="414"/>
      <c r="T110" s="414"/>
      <c r="U110" s="414"/>
      <c r="V110" s="414"/>
      <c r="W110" s="414"/>
      <c r="X110" s="414"/>
      <c r="Y110" s="414"/>
      <c r="Z110" s="416"/>
      <c r="AA110" s="348"/>
      <c r="AB110" s="348"/>
      <c r="AC110" s="348"/>
      <c r="AD110" s="348"/>
      <c r="AE110" s="348"/>
      <c r="AF110" s="348"/>
      <c r="AG110" s="348"/>
      <c r="AH110" s="348"/>
      <c r="AI110" s="349"/>
      <c r="AJ110" s="349"/>
      <c r="AK110" s="350"/>
      <c r="AL110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0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0" s="551" t="str">
        <f>IF(bhpc_data[[#This Row],[hs_code]]="","",IF(bhpc_data[[#This Row],[hs_code]]="33030090",bhpc_data[[#This Row],[tot_order]]/bhpc_data[[#This Row],[units_per_carton]]*bhpc_data[[#This Row],[net_weight]],0))</f>
        <v/>
      </c>
      <c r="AO110" s="568" t="str">
        <f>IFERROR(bhpc_data[[#This Row],[tot_order]]/bhpc_data[[#This Row],[units_per_carton]]/bhpc_data[[#This Row],[box_per_europallet]],"")</f>
        <v/>
      </c>
      <c r="AP110" s="568" t="str">
        <f>IFERROR(bhpc_data[[#This Row],[tot_order]]/bhpc_data[[#This Row],[units_per_carton]]/bhpc_data[[#This Row],[box_per_pallet]],"")</f>
        <v/>
      </c>
      <c r="AQ110" s="581" t="str">
        <f>IFERROR(ROUNDUP(bhpc_data[[#This Row],[pallet_euro]],0),"")</f>
        <v/>
      </c>
      <c r="AR110" s="581" t="str">
        <f>IFERROR(ROUNDUP(bhpc_data[[#This Row],[pallet]],0),"")</f>
        <v/>
      </c>
    </row>
    <row r="111" spans="1:44">
      <c r="A111" s="414" t="s">
        <v>956</v>
      </c>
      <c r="B111" s="414"/>
      <c r="C111" s="414"/>
      <c r="D111" s="414"/>
      <c r="E111" s="415"/>
      <c r="F111" s="592"/>
      <c r="G111" s="414" t="s">
        <v>980</v>
      </c>
      <c r="H111" s="416"/>
      <c r="I111" s="563"/>
      <c r="J111" s="563"/>
      <c r="K111" s="563"/>
      <c r="L111" s="563"/>
      <c r="M111" s="563"/>
      <c r="N111" s="414"/>
      <c r="O111" s="414"/>
      <c r="P111" s="414"/>
      <c r="Q111" s="414"/>
      <c r="R111" s="414"/>
      <c r="S111" s="414"/>
      <c r="T111" s="414"/>
      <c r="U111" s="414"/>
      <c r="V111" s="414"/>
      <c r="W111" s="414"/>
      <c r="X111" s="414"/>
      <c r="Y111" s="414"/>
      <c r="Z111" s="416"/>
      <c r="AA111" s="351"/>
      <c r="AB111" s="351"/>
      <c r="AC111" s="351"/>
      <c r="AD111" s="351"/>
      <c r="AE111" s="351"/>
      <c r="AF111" s="351"/>
      <c r="AG111" s="351"/>
      <c r="AH111" s="351"/>
      <c r="AI111" s="352"/>
      <c r="AJ111" s="352"/>
      <c r="AK111" s="353"/>
      <c r="AL111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1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1" s="551" t="str">
        <f>IF(bhpc_data[[#This Row],[hs_code]]="","",IF(bhpc_data[[#This Row],[hs_code]]="33030090",bhpc_data[[#This Row],[tot_order]]/bhpc_data[[#This Row],[units_per_carton]]*bhpc_data[[#This Row],[net_weight]],0))</f>
        <v/>
      </c>
      <c r="AO111" s="568" t="str">
        <f>IFERROR(bhpc_data[[#This Row],[tot_order]]/bhpc_data[[#This Row],[units_per_carton]]/bhpc_data[[#This Row],[box_per_europallet]],"")</f>
        <v/>
      </c>
      <c r="AP111" s="568" t="str">
        <f>IFERROR(bhpc_data[[#This Row],[tot_order]]/bhpc_data[[#This Row],[units_per_carton]]/bhpc_data[[#This Row],[box_per_pallet]],"")</f>
        <v/>
      </c>
      <c r="AQ111" s="581" t="str">
        <f>IFERROR(ROUNDUP(bhpc_data[[#This Row],[pallet_euro]],0),"")</f>
        <v/>
      </c>
      <c r="AR111" s="581" t="str">
        <f>IFERROR(ROUNDUP(bhpc_data[[#This Row],[pallet]],0),"")</f>
        <v/>
      </c>
    </row>
    <row r="112" spans="1:44">
      <c r="A112" s="414" t="s">
        <v>957</v>
      </c>
      <c r="B112" s="414"/>
      <c r="C112" s="414"/>
      <c r="D112" s="414"/>
      <c r="E112" s="415"/>
      <c r="F112" s="592"/>
      <c r="G112" s="414" t="s">
        <v>981</v>
      </c>
      <c r="H112" s="416"/>
      <c r="I112" s="563"/>
      <c r="J112" s="563"/>
      <c r="K112" s="563"/>
      <c r="L112" s="563"/>
      <c r="M112" s="563"/>
      <c r="N112" s="414"/>
      <c r="O112" s="414"/>
      <c r="P112" s="414"/>
      <c r="Q112" s="414"/>
      <c r="R112" s="414"/>
      <c r="S112" s="414"/>
      <c r="T112" s="414"/>
      <c r="U112" s="414"/>
      <c r="V112" s="414"/>
      <c r="W112" s="414"/>
      <c r="X112" s="414"/>
      <c r="Y112" s="414"/>
      <c r="Z112" s="416"/>
      <c r="AA112" s="348"/>
      <c r="AB112" s="348"/>
      <c r="AC112" s="348"/>
      <c r="AD112" s="348"/>
      <c r="AE112" s="348"/>
      <c r="AF112" s="348"/>
      <c r="AG112" s="348"/>
      <c r="AH112" s="348"/>
      <c r="AI112" s="349"/>
      <c r="AJ112" s="349"/>
      <c r="AK112" s="350"/>
      <c r="AL112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2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2" s="551" t="str">
        <f>IF(bhpc_data[[#This Row],[hs_code]]="","",IF(bhpc_data[[#This Row],[hs_code]]="33030090",bhpc_data[[#This Row],[tot_order]]/bhpc_data[[#This Row],[units_per_carton]]*bhpc_data[[#This Row],[net_weight]],0))</f>
        <v/>
      </c>
      <c r="AO112" s="568" t="str">
        <f>IFERROR(bhpc_data[[#This Row],[tot_order]]/bhpc_data[[#This Row],[units_per_carton]]/bhpc_data[[#This Row],[box_per_europallet]],"")</f>
        <v/>
      </c>
      <c r="AP112" s="568" t="str">
        <f>IFERROR(bhpc_data[[#This Row],[tot_order]]/bhpc_data[[#This Row],[units_per_carton]]/bhpc_data[[#This Row],[box_per_pallet]],"")</f>
        <v/>
      </c>
      <c r="AQ112" s="581" t="str">
        <f>IFERROR(ROUNDUP(bhpc_data[[#This Row],[pallet_euro]],0),"")</f>
        <v/>
      </c>
      <c r="AR112" s="581" t="str">
        <f>IFERROR(ROUNDUP(bhpc_data[[#This Row],[pallet]],0),"")</f>
        <v/>
      </c>
    </row>
    <row r="113" spans="1:44">
      <c r="A113" s="414" t="s">
        <v>958</v>
      </c>
      <c r="B113" s="414"/>
      <c r="C113" s="414"/>
      <c r="D113" s="414"/>
      <c r="E113" s="415"/>
      <c r="F113" s="592"/>
      <c r="G113" s="414" t="s">
        <v>982</v>
      </c>
      <c r="H113" s="416"/>
      <c r="I113" s="563"/>
      <c r="J113" s="563"/>
      <c r="K113" s="563"/>
      <c r="L113" s="563"/>
      <c r="M113" s="563"/>
      <c r="N113" s="414"/>
      <c r="O113" s="414"/>
      <c r="P113" s="414"/>
      <c r="Q113" s="414"/>
      <c r="R113" s="414"/>
      <c r="S113" s="414"/>
      <c r="T113" s="414"/>
      <c r="U113" s="414"/>
      <c r="V113" s="414"/>
      <c r="W113" s="414"/>
      <c r="X113" s="414"/>
      <c r="Y113" s="414"/>
      <c r="Z113" s="416"/>
      <c r="AA113" s="351"/>
      <c r="AB113" s="351"/>
      <c r="AC113" s="351"/>
      <c r="AD113" s="351"/>
      <c r="AE113" s="351"/>
      <c r="AF113" s="351"/>
      <c r="AG113" s="351"/>
      <c r="AH113" s="351"/>
      <c r="AI113" s="352"/>
      <c r="AJ113" s="352"/>
      <c r="AK113" s="353"/>
      <c r="AL113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3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3" s="551" t="str">
        <f>IF(bhpc_data[[#This Row],[hs_code]]="","",IF(bhpc_data[[#This Row],[hs_code]]="33030090",bhpc_data[[#This Row],[tot_order]]/bhpc_data[[#This Row],[units_per_carton]]*bhpc_data[[#This Row],[net_weight]],0))</f>
        <v/>
      </c>
      <c r="AO113" s="568" t="str">
        <f>IFERROR(bhpc_data[[#This Row],[tot_order]]/bhpc_data[[#This Row],[units_per_carton]]/bhpc_data[[#This Row],[box_per_europallet]],"")</f>
        <v/>
      </c>
      <c r="AP113" s="568" t="str">
        <f>IFERROR(bhpc_data[[#This Row],[tot_order]]/bhpc_data[[#This Row],[units_per_carton]]/bhpc_data[[#This Row],[box_per_pallet]],"")</f>
        <v/>
      </c>
      <c r="AQ113" s="581" t="str">
        <f>IFERROR(ROUNDUP(bhpc_data[[#This Row],[pallet_euro]],0),"")</f>
        <v/>
      </c>
      <c r="AR113" s="581" t="str">
        <f>IFERROR(ROUNDUP(bhpc_data[[#This Row],[pallet]],0),"")</f>
        <v/>
      </c>
    </row>
    <row r="114" spans="1:44">
      <c r="A114" s="414" t="s">
        <v>983</v>
      </c>
      <c r="B114" s="414"/>
      <c r="C114" s="414"/>
      <c r="D114" s="414"/>
      <c r="E114" s="415"/>
      <c r="F114" s="592"/>
      <c r="G114" s="414" t="s">
        <v>984</v>
      </c>
      <c r="H114" s="416"/>
      <c r="I114" s="563"/>
      <c r="J114" s="563"/>
      <c r="K114" s="563"/>
      <c r="L114" s="563"/>
      <c r="M114" s="563"/>
      <c r="N114" s="414"/>
      <c r="O114" s="414"/>
      <c r="P114" s="414"/>
      <c r="Q114" s="414"/>
      <c r="R114" s="414"/>
      <c r="S114" s="414"/>
      <c r="T114" s="414"/>
      <c r="U114" s="414"/>
      <c r="V114" s="414"/>
      <c r="W114" s="414"/>
      <c r="X114" s="414"/>
      <c r="Y114" s="414"/>
      <c r="Z114" s="416"/>
      <c r="AA114" s="348"/>
      <c r="AB114" s="348"/>
      <c r="AC114" s="348"/>
      <c r="AD114" s="348"/>
      <c r="AE114" s="348"/>
      <c r="AF114" s="348"/>
      <c r="AG114" s="348"/>
      <c r="AH114" s="348"/>
      <c r="AI114" s="349"/>
      <c r="AJ114" s="349"/>
      <c r="AK114" s="350"/>
      <c r="AL114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4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4" s="551" t="str">
        <f>IF(bhpc_data[[#This Row],[hs_code]]="","",IF(bhpc_data[[#This Row],[hs_code]]="33030090",bhpc_data[[#This Row],[tot_order]]/bhpc_data[[#This Row],[units_per_carton]]*bhpc_data[[#This Row],[net_weight]],0))</f>
        <v/>
      </c>
      <c r="AO114" s="568" t="str">
        <f>IFERROR(bhpc_data[[#This Row],[tot_order]]/bhpc_data[[#This Row],[units_per_carton]]/bhpc_data[[#This Row],[box_per_europallet]],"")</f>
        <v/>
      </c>
      <c r="AP114" s="568" t="str">
        <f>IFERROR(bhpc_data[[#This Row],[tot_order]]/bhpc_data[[#This Row],[units_per_carton]]/bhpc_data[[#This Row],[box_per_pallet]],"")</f>
        <v/>
      </c>
      <c r="AQ114" s="581" t="str">
        <f>IFERROR(ROUNDUP(bhpc_data[[#This Row],[pallet_euro]],0),"")</f>
        <v/>
      </c>
      <c r="AR114" s="581" t="str">
        <f>IFERROR(ROUNDUP(bhpc_data[[#This Row],[pallet]],0),"")</f>
        <v/>
      </c>
    </row>
    <row r="115" spans="1:44">
      <c r="A115" s="414" t="s">
        <v>985</v>
      </c>
      <c r="B115" s="414"/>
      <c r="C115" s="414"/>
      <c r="D115" s="414"/>
      <c r="E115" s="415"/>
      <c r="F115" s="592"/>
      <c r="G115" s="414" t="s">
        <v>986</v>
      </c>
      <c r="H115" s="416"/>
      <c r="I115" s="563"/>
      <c r="J115" s="563"/>
      <c r="K115" s="563"/>
      <c r="L115" s="563"/>
      <c r="M115" s="563"/>
      <c r="N115" s="414"/>
      <c r="O115" s="414"/>
      <c r="P115" s="414"/>
      <c r="Q115" s="414"/>
      <c r="R115" s="414"/>
      <c r="S115" s="414"/>
      <c r="T115" s="414"/>
      <c r="U115" s="414"/>
      <c r="V115" s="414"/>
      <c r="W115" s="414"/>
      <c r="X115" s="414"/>
      <c r="Y115" s="414"/>
      <c r="Z115" s="416"/>
      <c r="AA115" s="351"/>
      <c r="AB115" s="351"/>
      <c r="AC115" s="351"/>
      <c r="AD115" s="351"/>
      <c r="AE115" s="351"/>
      <c r="AF115" s="351"/>
      <c r="AG115" s="351"/>
      <c r="AH115" s="351"/>
      <c r="AI115" s="352"/>
      <c r="AJ115" s="352"/>
      <c r="AK115" s="353"/>
      <c r="AL115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5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5" s="551" t="str">
        <f>IF(bhpc_data[[#This Row],[hs_code]]="","",IF(bhpc_data[[#This Row],[hs_code]]="33030090",bhpc_data[[#This Row],[tot_order]]/bhpc_data[[#This Row],[units_per_carton]]*bhpc_data[[#This Row],[net_weight]],0))</f>
        <v/>
      </c>
      <c r="AO115" s="568" t="str">
        <f>IFERROR(bhpc_data[[#This Row],[tot_order]]/bhpc_data[[#This Row],[units_per_carton]]/bhpc_data[[#This Row],[box_per_europallet]],"")</f>
        <v/>
      </c>
      <c r="AP115" s="568" t="str">
        <f>IFERROR(bhpc_data[[#This Row],[tot_order]]/bhpc_data[[#This Row],[units_per_carton]]/bhpc_data[[#This Row],[box_per_pallet]],"")</f>
        <v/>
      </c>
      <c r="AQ115" s="581" t="str">
        <f>IFERROR(ROUNDUP(bhpc_data[[#This Row],[pallet_euro]],0),"")</f>
        <v/>
      </c>
      <c r="AR115" s="581" t="str">
        <f>IFERROR(ROUNDUP(bhpc_data[[#This Row],[pallet]],0),"")</f>
        <v/>
      </c>
    </row>
    <row r="116" spans="1:44">
      <c r="A116" s="414" t="s">
        <v>987</v>
      </c>
      <c r="B116" s="414"/>
      <c r="C116" s="414"/>
      <c r="D116" s="414"/>
      <c r="E116" s="415"/>
      <c r="F116" s="592"/>
      <c r="G116" s="414" t="s">
        <v>988</v>
      </c>
      <c r="H116" s="416"/>
      <c r="I116" s="563"/>
      <c r="J116" s="563"/>
      <c r="K116" s="563"/>
      <c r="L116" s="563"/>
      <c r="M116" s="563"/>
      <c r="N116" s="414"/>
      <c r="O116" s="414"/>
      <c r="P116" s="414"/>
      <c r="Q116" s="414"/>
      <c r="R116" s="414"/>
      <c r="S116" s="414"/>
      <c r="T116" s="414"/>
      <c r="U116" s="414"/>
      <c r="V116" s="414"/>
      <c r="W116" s="414"/>
      <c r="X116" s="414"/>
      <c r="Y116" s="414"/>
      <c r="Z116" s="416"/>
      <c r="AA116" s="348"/>
      <c r="AB116" s="348"/>
      <c r="AC116" s="348"/>
      <c r="AD116" s="348"/>
      <c r="AE116" s="348"/>
      <c r="AF116" s="348"/>
      <c r="AG116" s="348"/>
      <c r="AH116" s="348"/>
      <c r="AI116" s="349"/>
      <c r="AJ116" s="349"/>
      <c r="AK116" s="350"/>
      <c r="AL116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6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6" s="551" t="str">
        <f>IF(bhpc_data[[#This Row],[hs_code]]="","",IF(bhpc_data[[#This Row],[hs_code]]="33030090",bhpc_data[[#This Row],[tot_order]]/bhpc_data[[#This Row],[units_per_carton]]*bhpc_data[[#This Row],[net_weight]],0))</f>
        <v/>
      </c>
      <c r="AO116" s="568" t="str">
        <f>IFERROR(bhpc_data[[#This Row],[tot_order]]/bhpc_data[[#This Row],[units_per_carton]]/bhpc_data[[#This Row],[box_per_europallet]],"")</f>
        <v/>
      </c>
      <c r="AP116" s="568" t="str">
        <f>IFERROR(bhpc_data[[#This Row],[tot_order]]/bhpc_data[[#This Row],[units_per_carton]]/bhpc_data[[#This Row],[box_per_pallet]],"")</f>
        <v/>
      </c>
      <c r="AQ116" s="581" t="str">
        <f>IFERROR(ROUNDUP(bhpc_data[[#This Row],[pallet_euro]],0),"")</f>
        <v/>
      </c>
      <c r="AR116" s="581" t="str">
        <f>IFERROR(ROUNDUP(bhpc_data[[#This Row],[pallet]],0),"")</f>
        <v/>
      </c>
    </row>
    <row r="117" spans="1:44">
      <c r="A117" s="414" t="s">
        <v>533</v>
      </c>
      <c r="B117" s="414"/>
      <c r="C117" s="414"/>
      <c r="D117" s="414"/>
      <c r="E117" s="415"/>
      <c r="F117" s="592"/>
      <c r="G117" s="414" t="s">
        <v>534</v>
      </c>
      <c r="H117" s="416"/>
      <c r="I117" s="563"/>
      <c r="J117" s="563"/>
      <c r="K117" s="563"/>
      <c r="L117" s="563"/>
      <c r="M117" s="563"/>
      <c r="N117" s="414"/>
      <c r="O117" s="414"/>
      <c r="P117" s="414"/>
      <c r="Q117" s="414"/>
      <c r="R117" s="414"/>
      <c r="S117" s="414"/>
      <c r="T117" s="414"/>
      <c r="U117" s="414"/>
      <c r="V117" s="414"/>
      <c r="W117" s="414"/>
      <c r="X117" s="414"/>
      <c r="Y117" s="414"/>
      <c r="Z117" s="416"/>
      <c r="AA117" s="351"/>
      <c r="AB117" s="351"/>
      <c r="AC117" s="351"/>
      <c r="AD117" s="351"/>
      <c r="AE117" s="351"/>
      <c r="AF117" s="351"/>
      <c r="AG117" s="351"/>
      <c r="AH117" s="351"/>
      <c r="AI117" s="352"/>
      <c r="AJ117" s="352"/>
      <c r="AK117" s="353"/>
      <c r="AL117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7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7" s="551" t="str">
        <f>IF(bhpc_data[[#This Row],[hs_code]]="","",IF(bhpc_data[[#This Row],[hs_code]]="33030090",bhpc_data[[#This Row],[tot_order]]/bhpc_data[[#This Row],[units_per_carton]]*bhpc_data[[#This Row],[net_weight]],0))</f>
        <v/>
      </c>
      <c r="AO117" s="568" t="str">
        <f>IFERROR(bhpc_data[[#This Row],[tot_order]]/bhpc_data[[#This Row],[units_per_carton]]/bhpc_data[[#This Row],[box_per_europallet]],"")</f>
        <v/>
      </c>
      <c r="AP117" s="568" t="str">
        <f>IFERROR(bhpc_data[[#This Row],[tot_order]]/bhpc_data[[#This Row],[units_per_carton]]/bhpc_data[[#This Row],[box_per_pallet]],"")</f>
        <v/>
      </c>
      <c r="AQ117" s="581" t="str">
        <f>IFERROR(ROUNDUP(bhpc_data[[#This Row],[pallet_euro]],0),"")</f>
        <v/>
      </c>
      <c r="AR117" s="581" t="str">
        <f>IFERROR(ROUNDUP(bhpc_data[[#This Row],[pallet]],0),"")</f>
        <v/>
      </c>
    </row>
    <row r="118" spans="1:44">
      <c r="A118" s="414" t="s">
        <v>535</v>
      </c>
      <c r="B118" s="414"/>
      <c r="C118" s="414"/>
      <c r="D118" s="414"/>
      <c r="E118" s="415"/>
      <c r="F118" s="592"/>
      <c r="G118" s="414" t="s">
        <v>536</v>
      </c>
      <c r="H118" s="416"/>
      <c r="I118" s="563"/>
      <c r="J118" s="563"/>
      <c r="K118" s="563"/>
      <c r="L118" s="563"/>
      <c r="M118" s="563"/>
      <c r="N118" s="414"/>
      <c r="O118" s="414"/>
      <c r="P118" s="414"/>
      <c r="Q118" s="414"/>
      <c r="R118" s="414"/>
      <c r="S118" s="414"/>
      <c r="T118" s="414"/>
      <c r="U118" s="414"/>
      <c r="V118" s="414"/>
      <c r="W118" s="414"/>
      <c r="X118" s="414"/>
      <c r="Y118" s="414"/>
      <c r="Z118" s="416"/>
      <c r="AA118" s="348"/>
      <c r="AB118" s="348"/>
      <c r="AC118" s="348"/>
      <c r="AD118" s="348"/>
      <c r="AE118" s="348"/>
      <c r="AF118" s="348"/>
      <c r="AG118" s="348"/>
      <c r="AH118" s="348"/>
      <c r="AI118" s="349"/>
      <c r="AJ118" s="349"/>
      <c r="AK118" s="350"/>
      <c r="AL118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8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8" s="551" t="str">
        <f>IF(bhpc_data[[#This Row],[hs_code]]="","",IF(bhpc_data[[#This Row],[hs_code]]="33030090",bhpc_data[[#This Row],[tot_order]]/bhpc_data[[#This Row],[units_per_carton]]*bhpc_data[[#This Row],[net_weight]],0))</f>
        <v/>
      </c>
      <c r="AO118" s="568" t="str">
        <f>IFERROR(bhpc_data[[#This Row],[tot_order]]/bhpc_data[[#This Row],[units_per_carton]]/bhpc_data[[#This Row],[box_per_europallet]],"")</f>
        <v/>
      </c>
      <c r="AP118" s="568" t="str">
        <f>IFERROR(bhpc_data[[#This Row],[tot_order]]/bhpc_data[[#This Row],[units_per_carton]]/bhpc_data[[#This Row],[box_per_pallet]],"")</f>
        <v/>
      </c>
      <c r="AQ118" s="581" t="str">
        <f>IFERROR(ROUNDUP(bhpc_data[[#This Row],[pallet_euro]],0),"")</f>
        <v/>
      </c>
      <c r="AR118" s="581" t="str">
        <f>IFERROR(ROUNDUP(bhpc_data[[#This Row],[pallet]],0),"")</f>
        <v/>
      </c>
    </row>
    <row r="119" spans="1:44">
      <c r="A119" s="414" t="s">
        <v>989</v>
      </c>
      <c r="B119" s="414"/>
      <c r="C119" s="414"/>
      <c r="D119" s="414"/>
      <c r="E119" s="415"/>
      <c r="F119" s="592"/>
      <c r="G119" s="414" t="s">
        <v>990</v>
      </c>
      <c r="H119" s="416"/>
      <c r="I119" s="563"/>
      <c r="J119" s="563"/>
      <c r="K119" s="563"/>
      <c r="L119" s="563"/>
      <c r="M119" s="563"/>
      <c r="N119" s="414"/>
      <c r="O119" s="414"/>
      <c r="P119" s="414"/>
      <c r="Q119" s="414"/>
      <c r="R119" s="414"/>
      <c r="S119" s="414"/>
      <c r="T119" s="414"/>
      <c r="U119" s="414"/>
      <c r="V119" s="414"/>
      <c r="W119" s="414"/>
      <c r="X119" s="414"/>
      <c r="Y119" s="414"/>
      <c r="Z119" s="416"/>
      <c r="AA119" s="351"/>
      <c r="AB119" s="351"/>
      <c r="AC119" s="351"/>
      <c r="AD119" s="351"/>
      <c r="AE119" s="351"/>
      <c r="AF119" s="351"/>
      <c r="AG119" s="351"/>
      <c r="AH119" s="351"/>
      <c r="AI119" s="352"/>
      <c r="AJ119" s="352"/>
      <c r="AK119" s="353"/>
      <c r="AL119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19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19" s="551" t="str">
        <f>IF(bhpc_data[[#This Row],[hs_code]]="","",IF(bhpc_data[[#This Row],[hs_code]]="33030090",bhpc_data[[#This Row],[tot_order]]/bhpc_data[[#This Row],[units_per_carton]]*bhpc_data[[#This Row],[net_weight]],0))</f>
        <v/>
      </c>
      <c r="AO119" s="568" t="str">
        <f>IFERROR(bhpc_data[[#This Row],[tot_order]]/bhpc_data[[#This Row],[units_per_carton]]/bhpc_data[[#This Row],[box_per_europallet]],"")</f>
        <v/>
      </c>
      <c r="AP119" s="568" t="str">
        <f>IFERROR(bhpc_data[[#This Row],[tot_order]]/bhpc_data[[#This Row],[units_per_carton]]/bhpc_data[[#This Row],[box_per_pallet]],"")</f>
        <v/>
      </c>
      <c r="AQ119" s="581" t="str">
        <f>IFERROR(ROUNDUP(bhpc_data[[#This Row],[pallet_euro]],0),"")</f>
        <v/>
      </c>
      <c r="AR119" s="581" t="str">
        <f>IFERROR(ROUNDUP(bhpc_data[[#This Row],[pallet]],0),"")</f>
        <v/>
      </c>
    </row>
    <row r="120" spans="1:44">
      <c r="A120" s="414" t="s">
        <v>991</v>
      </c>
      <c r="B120" s="414"/>
      <c r="C120" s="414"/>
      <c r="D120" s="414"/>
      <c r="E120" s="415"/>
      <c r="F120" s="592"/>
      <c r="G120" s="414" t="s">
        <v>992</v>
      </c>
      <c r="H120" s="416"/>
      <c r="I120" s="563"/>
      <c r="J120" s="563"/>
      <c r="K120" s="563"/>
      <c r="L120" s="563"/>
      <c r="M120" s="563"/>
      <c r="N120" s="414"/>
      <c r="O120" s="414"/>
      <c r="P120" s="414"/>
      <c r="Q120" s="414"/>
      <c r="R120" s="414"/>
      <c r="S120" s="414"/>
      <c r="T120" s="414"/>
      <c r="U120" s="414"/>
      <c r="V120" s="414"/>
      <c r="W120" s="414"/>
      <c r="X120" s="414"/>
      <c r="Y120" s="414"/>
      <c r="Z120" s="416"/>
      <c r="AA120" s="348"/>
      <c r="AB120" s="348"/>
      <c r="AC120" s="348"/>
      <c r="AD120" s="348"/>
      <c r="AE120" s="348"/>
      <c r="AF120" s="348"/>
      <c r="AG120" s="348"/>
      <c r="AH120" s="348"/>
      <c r="AI120" s="349"/>
      <c r="AJ120" s="349"/>
      <c r="AK120" s="350"/>
      <c r="AL120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0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0" s="551" t="str">
        <f>IF(bhpc_data[[#This Row],[hs_code]]="","",IF(bhpc_data[[#This Row],[hs_code]]="33030090",bhpc_data[[#This Row],[tot_order]]/bhpc_data[[#This Row],[units_per_carton]]*bhpc_data[[#This Row],[net_weight]],0))</f>
        <v/>
      </c>
      <c r="AO120" s="568" t="str">
        <f>IFERROR(bhpc_data[[#This Row],[tot_order]]/bhpc_data[[#This Row],[units_per_carton]]/bhpc_data[[#This Row],[box_per_europallet]],"")</f>
        <v/>
      </c>
      <c r="AP120" s="568" t="str">
        <f>IFERROR(bhpc_data[[#This Row],[tot_order]]/bhpc_data[[#This Row],[units_per_carton]]/bhpc_data[[#This Row],[box_per_pallet]],"")</f>
        <v/>
      </c>
      <c r="AQ120" s="581" t="str">
        <f>IFERROR(ROUNDUP(bhpc_data[[#This Row],[pallet_euro]],0),"")</f>
        <v/>
      </c>
      <c r="AR120" s="581" t="str">
        <f>IFERROR(ROUNDUP(bhpc_data[[#This Row],[pallet]],0),"")</f>
        <v/>
      </c>
    </row>
    <row r="121" spans="1:44">
      <c r="A121" s="414" t="s">
        <v>993</v>
      </c>
      <c r="B121" s="414"/>
      <c r="C121" s="414"/>
      <c r="D121" s="414"/>
      <c r="E121" s="415"/>
      <c r="F121" s="592"/>
      <c r="G121" s="414" t="s">
        <v>994</v>
      </c>
      <c r="H121" s="416"/>
      <c r="I121" s="563"/>
      <c r="J121" s="563"/>
      <c r="K121" s="563"/>
      <c r="L121" s="563"/>
      <c r="M121" s="563"/>
      <c r="N121" s="414"/>
      <c r="O121" s="414"/>
      <c r="P121" s="414"/>
      <c r="Q121" s="414"/>
      <c r="R121" s="414"/>
      <c r="S121" s="414"/>
      <c r="T121" s="414"/>
      <c r="U121" s="414"/>
      <c r="V121" s="414"/>
      <c r="W121" s="414"/>
      <c r="X121" s="414"/>
      <c r="Y121" s="414"/>
      <c r="Z121" s="416"/>
      <c r="AA121" s="351"/>
      <c r="AB121" s="351"/>
      <c r="AC121" s="351"/>
      <c r="AD121" s="351"/>
      <c r="AE121" s="351"/>
      <c r="AF121" s="351"/>
      <c r="AG121" s="351"/>
      <c r="AH121" s="351"/>
      <c r="AI121" s="352"/>
      <c r="AJ121" s="352"/>
      <c r="AK121" s="353"/>
      <c r="AL121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1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1" s="551" t="str">
        <f>IF(bhpc_data[[#This Row],[hs_code]]="","",IF(bhpc_data[[#This Row],[hs_code]]="33030090",bhpc_data[[#This Row],[tot_order]]/bhpc_data[[#This Row],[units_per_carton]]*bhpc_data[[#This Row],[net_weight]],0))</f>
        <v/>
      </c>
      <c r="AO121" s="568" t="str">
        <f>IFERROR(bhpc_data[[#This Row],[tot_order]]/bhpc_data[[#This Row],[units_per_carton]]/bhpc_data[[#This Row],[box_per_europallet]],"")</f>
        <v/>
      </c>
      <c r="AP121" s="568" t="str">
        <f>IFERROR(bhpc_data[[#This Row],[tot_order]]/bhpc_data[[#This Row],[units_per_carton]]/bhpc_data[[#This Row],[box_per_pallet]],"")</f>
        <v/>
      </c>
      <c r="AQ121" s="581" t="str">
        <f>IFERROR(ROUNDUP(bhpc_data[[#This Row],[pallet_euro]],0),"")</f>
        <v/>
      </c>
      <c r="AR121" s="581" t="str">
        <f>IFERROR(ROUNDUP(bhpc_data[[#This Row],[pallet]],0),"")</f>
        <v/>
      </c>
    </row>
    <row r="122" spans="1:44">
      <c r="A122" s="417" t="s">
        <v>995</v>
      </c>
      <c r="B122" s="414"/>
      <c r="C122" s="417"/>
      <c r="D122" s="417"/>
      <c r="E122" s="418"/>
      <c r="F122" s="593"/>
      <c r="G122" s="417" t="s">
        <v>996</v>
      </c>
      <c r="H122" s="419"/>
      <c r="I122" s="564"/>
      <c r="J122" s="564"/>
      <c r="K122" s="564"/>
      <c r="L122" s="564"/>
      <c r="M122" s="564"/>
      <c r="N122" s="417"/>
      <c r="O122" s="417"/>
      <c r="P122" s="417"/>
      <c r="Q122" s="417"/>
      <c r="R122" s="417"/>
      <c r="S122" s="417"/>
      <c r="T122" s="417"/>
      <c r="U122" s="417"/>
      <c r="V122" s="417"/>
      <c r="W122" s="417"/>
      <c r="X122" s="417"/>
      <c r="Y122" s="417"/>
      <c r="Z122" s="419"/>
      <c r="AA122" s="348"/>
      <c r="AB122" s="348"/>
      <c r="AC122" s="348"/>
      <c r="AD122" s="348"/>
      <c r="AE122" s="348"/>
      <c r="AF122" s="348"/>
      <c r="AG122" s="348"/>
      <c r="AH122" s="348"/>
      <c r="AI122" s="349"/>
      <c r="AJ122" s="349"/>
      <c r="AK122" s="350"/>
      <c r="AL122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2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2" s="551" t="str">
        <f>IF(bhpc_data[[#This Row],[hs_code]]="","",IF(bhpc_data[[#This Row],[hs_code]]="33030090",bhpc_data[[#This Row],[tot_order]]/bhpc_data[[#This Row],[units_per_carton]]*bhpc_data[[#This Row],[net_weight]],0))</f>
        <v/>
      </c>
      <c r="AO122" s="568" t="str">
        <f>IFERROR(bhpc_data[[#This Row],[tot_order]]/bhpc_data[[#This Row],[units_per_carton]]/bhpc_data[[#This Row],[box_per_europallet]],"")</f>
        <v/>
      </c>
      <c r="AP122" s="568" t="str">
        <f>IFERROR(bhpc_data[[#This Row],[tot_order]]/bhpc_data[[#This Row],[units_per_carton]]/bhpc_data[[#This Row],[box_per_pallet]],"")</f>
        <v/>
      </c>
      <c r="AQ122" s="581" t="str">
        <f>IFERROR(ROUNDUP(bhpc_data[[#This Row],[pallet_euro]],0),"")</f>
        <v/>
      </c>
      <c r="AR122" s="581" t="str">
        <f>IFERROR(ROUNDUP(bhpc_data[[#This Row],[pallet]],0),"")</f>
        <v/>
      </c>
    </row>
    <row r="123" spans="1:44">
      <c r="A123" s="417" t="s">
        <v>1012</v>
      </c>
      <c r="B123" s="414" t="s">
        <v>1159</v>
      </c>
      <c r="C123" s="417">
        <v>1</v>
      </c>
      <c r="D123" s="417" t="s">
        <v>38</v>
      </c>
      <c r="E123" s="418" t="s">
        <v>1208</v>
      </c>
      <c r="F123" s="593"/>
      <c r="G123" s="417" t="s">
        <v>1050</v>
      </c>
      <c r="H123" s="416" t="s">
        <v>1160</v>
      </c>
      <c r="I123" s="563"/>
      <c r="J123" s="563"/>
      <c r="K123" s="563"/>
      <c r="L123" s="563"/>
      <c r="M123" s="563"/>
      <c r="N123" s="414"/>
      <c r="O123" s="414"/>
      <c r="P123" s="414"/>
      <c r="Q123" s="414"/>
      <c r="R123" s="414"/>
      <c r="S123" s="414"/>
      <c r="T123" s="414"/>
      <c r="U123" s="414"/>
      <c r="V123" s="414"/>
      <c r="W123" s="414"/>
      <c r="X123" s="414"/>
      <c r="Y123" s="414"/>
      <c r="Z123" s="416"/>
      <c r="AA123" s="351"/>
      <c r="AB123" s="351"/>
      <c r="AC123" s="351"/>
      <c r="AD123" s="351"/>
      <c r="AE123" s="351"/>
      <c r="AF123" s="351"/>
      <c r="AG123" s="351"/>
      <c r="AH123" s="351"/>
      <c r="AI123" s="352"/>
      <c r="AJ123" s="352"/>
      <c r="AK123" s="353"/>
      <c r="AL123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3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3" s="551" t="str">
        <f>IF(bhpc_data[[#This Row],[hs_code]]="","",IF(bhpc_data[[#This Row],[hs_code]]="33030090",bhpc_data[[#This Row],[tot_order]]/bhpc_data[[#This Row],[units_per_carton]]*bhpc_data[[#This Row],[net_weight]],0))</f>
        <v/>
      </c>
      <c r="AO123" s="568" t="str">
        <f>IFERROR(bhpc_data[[#This Row],[tot_order]]/bhpc_data[[#This Row],[units_per_carton]]/bhpc_data[[#This Row],[box_per_europallet]],"")</f>
        <v/>
      </c>
      <c r="AP123" s="568" t="str">
        <f>IFERROR(bhpc_data[[#This Row],[tot_order]]/bhpc_data[[#This Row],[units_per_carton]]/bhpc_data[[#This Row],[box_per_pallet]],"")</f>
        <v/>
      </c>
      <c r="AQ123" s="581" t="str">
        <f>IFERROR(ROUNDUP(bhpc_data[[#This Row],[pallet_euro]],0),"")</f>
        <v/>
      </c>
      <c r="AR123" s="581" t="str">
        <f>IFERROR(ROUNDUP(bhpc_data[[#This Row],[pallet]],0),"")</f>
        <v/>
      </c>
    </row>
    <row r="124" spans="1:44">
      <c r="A124" s="417" t="s">
        <v>1013</v>
      </c>
      <c r="B124" s="414" t="s">
        <v>1159</v>
      </c>
      <c r="C124" s="417">
        <v>1</v>
      </c>
      <c r="D124" s="417" t="s">
        <v>38</v>
      </c>
      <c r="E124" s="418" t="s">
        <v>1209</v>
      </c>
      <c r="F124" s="593"/>
      <c r="G124" s="417" t="s">
        <v>1051</v>
      </c>
      <c r="H124" s="416" t="s">
        <v>1160</v>
      </c>
      <c r="I124" s="563"/>
      <c r="J124" s="563"/>
      <c r="K124" s="563"/>
      <c r="L124" s="563"/>
      <c r="M124" s="563"/>
      <c r="N124" s="414"/>
      <c r="O124" s="414"/>
      <c r="P124" s="414"/>
      <c r="Q124" s="414"/>
      <c r="R124" s="414"/>
      <c r="S124" s="414"/>
      <c r="T124" s="414"/>
      <c r="U124" s="414"/>
      <c r="V124" s="414"/>
      <c r="W124" s="414"/>
      <c r="X124" s="414"/>
      <c r="Y124" s="414"/>
      <c r="Z124" s="416"/>
      <c r="AA124" s="348"/>
      <c r="AB124" s="348"/>
      <c r="AC124" s="348"/>
      <c r="AD124" s="348"/>
      <c r="AE124" s="348"/>
      <c r="AF124" s="348"/>
      <c r="AG124" s="348"/>
      <c r="AH124" s="348"/>
      <c r="AI124" s="349"/>
      <c r="AJ124" s="349"/>
      <c r="AK124" s="350"/>
      <c r="AL124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4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4" s="551" t="str">
        <f>IF(bhpc_data[[#This Row],[hs_code]]="","",IF(bhpc_data[[#This Row],[hs_code]]="33030090",bhpc_data[[#This Row],[tot_order]]/bhpc_data[[#This Row],[units_per_carton]]*bhpc_data[[#This Row],[net_weight]],0))</f>
        <v/>
      </c>
      <c r="AO124" s="568" t="str">
        <f>IFERROR(bhpc_data[[#This Row],[tot_order]]/bhpc_data[[#This Row],[units_per_carton]]/bhpc_data[[#This Row],[box_per_europallet]],"")</f>
        <v/>
      </c>
      <c r="AP124" s="568" t="str">
        <f>IFERROR(bhpc_data[[#This Row],[tot_order]]/bhpc_data[[#This Row],[units_per_carton]]/bhpc_data[[#This Row],[box_per_pallet]],"")</f>
        <v/>
      </c>
      <c r="AQ124" s="581" t="str">
        <f>IFERROR(ROUNDUP(bhpc_data[[#This Row],[pallet_euro]],0),"")</f>
        <v/>
      </c>
      <c r="AR124" s="581" t="str">
        <f>IFERROR(ROUNDUP(bhpc_data[[#This Row],[pallet]],0),"")</f>
        <v/>
      </c>
    </row>
    <row r="125" spans="1:44">
      <c r="A125" s="417" t="s">
        <v>1014</v>
      </c>
      <c r="B125" s="414" t="s">
        <v>1159</v>
      </c>
      <c r="C125" s="417">
        <v>1</v>
      </c>
      <c r="D125" s="417" t="s">
        <v>38</v>
      </c>
      <c r="E125" s="418" t="s">
        <v>1210</v>
      </c>
      <c r="F125" s="593"/>
      <c r="G125" s="417" t="s">
        <v>1052</v>
      </c>
      <c r="H125" s="416" t="s">
        <v>1160</v>
      </c>
      <c r="I125" s="563"/>
      <c r="J125" s="563"/>
      <c r="K125" s="563"/>
      <c r="L125" s="563"/>
      <c r="M125" s="563"/>
      <c r="N125" s="414"/>
      <c r="O125" s="414"/>
      <c r="P125" s="414"/>
      <c r="Q125" s="414"/>
      <c r="R125" s="414"/>
      <c r="S125" s="414"/>
      <c r="T125" s="414"/>
      <c r="U125" s="414"/>
      <c r="V125" s="414"/>
      <c r="W125" s="414"/>
      <c r="X125" s="414"/>
      <c r="Y125" s="414"/>
      <c r="Z125" s="416"/>
      <c r="AA125" s="351"/>
      <c r="AB125" s="351"/>
      <c r="AC125" s="351"/>
      <c r="AD125" s="351"/>
      <c r="AE125" s="351"/>
      <c r="AF125" s="351"/>
      <c r="AG125" s="351"/>
      <c r="AH125" s="351"/>
      <c r="AI125" s="352"/>
      <c r="AJ125" s="352"/>
      <c r="AK125" s="353"/>
      <c r="AL125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5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5" s="551" t="str">
        <f>IF(bhpc_data[[#This Row],[hs_code]]="","",IF(bhpc_data[[#This Row],[hs_code]]="33030090",bhpc_data[[#This Row],[tot_order]]/bhpc_data[[#This Row],[units_per_carton]]*bhpc_data[[#This Row],[net_weight]],0))</f>
        <v/>
      </c>
      <c r="AO125" s="568" t="str">
        <f>IFERROR(bhpc_data[[#This Row],[tot_order]]/bhpc_data[[#This Row],[units_per_carton]]/bhpc_data[[#This Row],[box_per_europallet]],"")</f>
        <v/>
      </c>
      <c r="AP125" s="568" t="str">
        <f>IFERROR(bhpc_data[[#This Row],[tot_order]]/bhpc_data[[#This Row],[units_per_carton]]/bhpc_data[[#This Row],[box_per_pallet]],"")</f>
        <v/>
      </c>
      <c r="AQ125" s="581" t="str">
        <f>IFERROR(ROUNDUP(bhpc_data[[#This Row],[pallet_euro]],0),"")</f>
        <v/>
      </c>
      <c r="AR125" s="581" t="str">
        <f>IFERROR(ROUNDUP(bhpc_data[[#This Row],[pallet]],0),"")</f>
        <v/>
      </c>
    </row>
    <row r="126" spans="1:44">
      <c r="A126" s="417" t="s">
        <v>1015</v>
      </c>
      <c r="B126" s="414" t="s">
        <v>1159</v>
      </c>
      <c r="C126" s="417">
        <v>1</v>
      </c>
      <c r="D126" s="417" t="s">
        <v>38</v>
      </c>
      <c r="E126" s="418" t="s">
        <v>1211</v>
      </c>
      <c r="F126" s="593"/>
      <c r="G126" s="417" t="s">
        <v>1053</v>
      </c>
      <c r="H126" s="416" t="s">
        <v>1160</v>
      </c>
      <c r="I126" s="563"/>
      <c r="J126" s="563"/>
      <c r="K126" s="563"/>
      <c r="L126" s="563"/>
      <c r="M126" s="563"/>
      <c r="N126" s="414"/>
      <c r="O126" s="414"/>
      <c r="P126" s="414"/>
      <c r="Q126" s="414"/>
      <c r="R126" s="414"/>
      <c r="S126" s="414"/>
      <c r="T126" s="414"/>
      <c r="U126" s="414"/>
      <c r="V126" s="414"/>
      <c r="W126" s="414"/>
      <c r="X126" s="414"/>
      <c r="Y126" s="414"/>
      <c r="Z126" s="416"/>
      <c r="AA126" s="348"/>
      <c r="AB126" s="348"/>
      <c r="AC126" s="348"/>
      <c r="AD126" s="348"/>
      <c r="AE126" s="348"/>
      <c r="AF126" s="348"/>
      <c r="AG126" s="348"/>
      <c r="AH126" s="348"/>
      <c r="AI126" s="349"/>
      <c r="AJ126" s="349"/>
      <c r="AK126" s="350"/>
      <c r="AL126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6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6" s="551" t="str">
        <f>IF(bhpc_data[[#This Row],[hs_code]]="","",IF(bhpc_data[[#This Row],[hs_code]]="33030090",bhpc_data[[#This Row],[tot_order]]/bhpc_data[[#This Row],[units_per_carton]]*bhpc_data[[#This Row],[net_weight]],0))</f>
        <v/>
      </c>
      <c r="AO126" s="568" t="str">
        <f>IFERROR(bhpc_data[[#This Row],[tot_order]]/bhpc_data[[#This Row],[units_per_carton]]/bhpc_data[[#This Row],[box_per_europallet]],"")</f>
        <v/>
      </c>
      <c r="AP126" s="568" t="str">
        <f>IFERROR(bhpc_data[[#This Row],[tot_order]]/bhpc_data[[#This Row],[units_per_carton]]/bhpc_data[[#This Row],[box_per_pallet]],"")</f>
        <v/>
      </c>
      <c r="AQ126" s="581" t="str">
        <f>IFERROR(ROUNDUP(bhpc_data[[#This Row],[pallet_euro]],0),"")</f>
        <v/>
      </c>
      <c r="AR126" s="581" t="str">
        <f>IFERROR(ROUNDUP(bhpc_data[[#This Row],[pallet]],0),"")</f>
        <v/>
      </c>
    </row>
    <row r="127" spans="1:44">
      <c r="A127" s="417" t="s">
        <v>1016</v>
      </c>
      <c r="B127" s="414" t="s">
        <v>1159</v>
      </c>
      <c r="C127" s="417">
        <v>1</v>
      </c>
      <c r="D127" s="417" t="s">
        <v>38</v>
      </c>
      <c r="E127" s="418" t="s">
        <v>1212</v>
      </c>
      <c r="F127" s="593"/>
      <c r="G127" s="417" t="s">
        <v>1054</v>
      </c>
      <c r="H127" s="416" t="s">
        <v>1160</v>
      </c>
      <c r="I127" s="563"/>
      <c r="J127" s="563"/>
      <c r="K127" s="563"/>
      <c r="L127" s="563"/>
      <c r="M127" s="563"/>
      <c r="N127" s="414"/>
      <c r="O127" s="414"/>
      <c r="P127" s="414"/>
      <c r="Q127" s="414"/>
      <c r="R127" s="414"/>
      <c r="S127" s="414"/>
      <c r="T127" s="414"/>
      <c r="U127" s="414"/>
      <c r="V127" s="414"/>
      <c r="W127" s="414"/>
      <c r="X127" s="414"/>
      <c r="Y127" s="414"/>
      <c r="Z127" s="416"/>
      <c r="AA127" s="351"/>
      <c r="AB127" s="351"/>
      <c r="AC127" s="351"/>
      <c r="AD127" s="351"/>
      <c r="AE127" s="351"/>
      <c r="AF127" s="351"/>
      <c r="AG127" s="351"/>
      <c r="AH127" s="351"/>
      <c r="AI127" s="352"/>
      <c r="AJ127" s="352"/>
      <c r="AK127" s="353"/>
      <c r="AL127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7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7" s="551" t="str">
        <f>IF(bhpc_data[[#This Row],[hs_code]]="","",IF(bhpc_data[[#This Row],[hs_code]]="33030090",bhpc_data[[#This Row],[tot_order]]/bhpc_data[[#This Row],[units_per_carton]]*bhpc_data[[#This Row],[net_weight]],0))</f>
        <v/>
      </c>
      <c r="AO127" s="568" t="str">
        <f>IFERROR(bhpc_data[[#This Row],[tot_order]]/bhpc_data[[#This Row],[units_per_carton]]/bhpc_data[[#This Row],[box_per_europallet]],"")</f>
        <v/>
      </c>
      <c r="AP127" s="568" t="str">
        <f>IFERROR(bhpc_data[[#This Row],[tot_order]]/bhpc_data[[#This Row],[units_per_carton]]/bhpc_data[[#This Row],[box_per_pallet]],"")</f>
        <v/>
      </c>
      <c r="AQ127" s="581" t="str">
        <f>IFERROR(ROUNDUP(bhpc_data[[#This Row],[pallet_euro]],0),"")</f>
        <v/>
      </c>
      <c r="AR127" s="581" t="str">
        <f>IFERROR(ROUNDUP(bhpc_data[[#This Row],[pallet]],0),"")</f>
        <v/>
      </c>
    </row>
    <row r="128" spans="1:44">
      <c r="A128" s="417" t="s">
        <v>1017</v>
      </c>
      <c r="B128" s="414" t="s">
        <v>1159</v>
      </c>
      <c r="C128" s="417">
        <v>1</v>
      </c>
      <c r="D128" s="417" t="s">
        <v>38</v>
      </c>
      <c r="E128" s="418" t="s">
        <v>1213</v>
      </c>
      <c r="F128" s="593"/>
      <c r="G128" s="417" t="s">
        <v>1055</v>
      </c>
      <c r="H128" s="416" t="s">
        <v>1160</v>
      </c>
      <c r="I128" s="563"/>
      <c r="J128" s="563"/>
      <c r="K128" s="563"/>
      <c r="L128" s="563"/>
      <c r="M128" s="563"/>
      <c r="N128" s="414"/>
      <c r="O128" s="414"/>
      <c r="P128" s="414"/>
      <c r="Q128" s="414"/>
      <c r="R128" s="414"/>
      <c r="S128" s="414"/>
      <c r="T128" s="414"/>
      <c r="U128" s="414"/>
      <c r="V128" s="414"/>
      <c r="W128" s="414"/>
      <c r="X128" s="414"/>
      <c r="Y128" s="414"/>
      <c r="Z128" s="416"/>
      <c r="AA128" s="348"/>
      <c r="AB128" s="348"/>
      <c r="AC128" s="348"/>
      <c r="AD128" s="348"/>
      <c r="AE128" s="348"/>
      <c r="AF128" s="348"/>
      <c r="AG128" s="348"/>
      <c r="AH128" s="348"/>
      <c r="AI128" s="349"/>
      <c r="AJ128" s="349"/>
      <c r="AK128" s="350"/>
      <c r="AL128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8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8" s="551" t="str">
        <f>IF(bhpc_data[[#This Row],[hs_code]]="","",IF(bhpc_data[[#This Row],[hs_code]]="33030090",bhpc_data[[#This Row],[tot_order]]/bhpc_data[[#This Row],[units_per_carton]]*bhpc_data[[#This Row],[net_weight]],0))</f>
        <v/>
      </c>
      <c r="AO128" s="568" t="str">
        <f>IFERROR(bhpc_data[[#This Row],[tot_order]]/bhpc_data[[#This Row],[units_per_carton]]/bhpc_data[[#This Row],[box_per_europallet]],"")</f>
        <v/>
      </c>
      <c r="AP128" s="568" t="str">
        <f>IFERROR(bhpc_data[[#This Row],[tot_order]]/bhpc_data[[#This Row],[units_per_carton]]/bhpc_data[[#This Row],[box_per_pallet]],"")</f>
        <v/>
      </c>
      <c r="AQ128" s="581" t="str">
        <f>IFERROR(ROUNDUP(bhpc_data[[#This Row],[pallet_euro]],0),"")</f>
        <v/>
      </c>
      <c r="AR128" s="581" t="str">
        <f>IFERROR(ROUNDUP(bhpc_data[[#This Row],[pallet]],0),"")</f>
        <v/>
      </c>
    </row>
    <row r="129" spans="1:44">
      <c r="A129" s="417" t="s">
        <v>1018</v>
      </c>
      <c r="B129" s="414" t="s">
        <v>1159</v>
      </c>
      <c r="C129" s="417">
        <v>1</v>
      </c>
      <c r="D129" s="417" t="s">
        <v>38</v>
      </c>
      <c r="E129" s="418" t="s">
        <v>1214</v>
      </c>
      <c r="F129" s="593"/>
      <c r="G129" s="417" t="s">
        <v>1056</v>
      </c>
      <c r="H129" s="416" t="s">
        <v>1160</v>
      </c>
      <c r="I129" s="563"/>
      <c r="J129" s="563"/>
      <c r="K129" s="563"/>
      <c r="L129" s="563"/>
      <c r="M129" s="563"/>
      <c r="N129" s="414"/>
      <c r="O129" s="414"/>
      <c r="P129" s="414"/>
      <c r="Q129" s="414"/>
      <c r="R129" s="414"/>
      <c r="S129" s="414"/>
      <c r="T129" s="414"/>
      <c r="U129" s="414"/>
      <c r="V129" s="414"/>
      <c r="W129" s="414"/>
      <c r="X129" s="414"/>
      <c r="Y129" s="414"/>
      <c r="Z129" s="416"/>
      <c r="AA129" s="351"/>
      <c r="AB129" s="351"/>
      <c r="AC129" s="351"/>
      <c r="AD129" s="351"/>
      <c r="AE129" s="351"/>
      <c r="AF129" s="351"/>
      <c r="AG129" s="351"/>
      <c r="AH129" s="351"/>
      <c r="AI129" s="352"/>
      <c r="AJ129" s="352"/>
      <c r="AK129" s="353"/>
      <c r="AL129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29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29" s="551" t="str">
        <f>IF(bhpc_data[[#This Row],[hs_code]]="","",IF(bhpc_data[[#This Row],[hs_code]]="33030090",bhpc_data[[#This Row],[tot_order]]/bhpc_data[[#This Row],[units_per_carton]]*bhpc_data[[#This Row],[net_weight]],0))</f>
        <v/>
      </c>
      <c r="AO129" s="568" t="str">
        <f>IFERROR(bhpc_data[[#This Row],[tot_order]]/bhpc_data[[#This Row],[units_per_carton]]/bhpc_data[[#This Row],[box_per_europallet]],"")</f>
        <v/>
      </c>
      <c r="AP129" s="568" t="str">
        <f>IFERROR(bhpc_data[[#This Row],[tot_order]]/bhpc_data[[#This Row],[units_per_carton]]/bhpc_data[[#This Row],[box_per_pallet]],"")</f>
        <v/>
      </c>
      <c r="AQ129" s="581" t="str">
        <f>IFERROR(ROUNDUP(bhpc_data[[#This Row],[pallet_euro]],0),"")</f>
        <v/>
      </c>
      <c r="AR129" s="581" t="str">
        <f>IFERROR(ROUNDUP(bhpc_data[[#This Row],[pallet]],0),"")</f>
        <v/>
      </c>
    </row>
    <row r="130" spans="1:44">
      <c r="A130" s="417" t="s">
        <v>1019</v>
      </c>
      <c r="B130" s="414" t="s">
        <v>1159</v>
      </c>
      <c r="C130" s="417">
        <v>1</v>
      </c>
      <c r="D130" s="417" t="s">
        <v>38</v>
      </c>
      <c r="E130" s="418" t="s">
        <v>1215</v>
      </c>
      <c r="F130" s="593"/>
      <c r="G130" s="417" t="s">
        <v>1057</v>
      </c>
      <c r="H130" s="416" t="s">
        <v>1160</v>
      </c>
      <c r="I130" s="563"/>
      <c r="J130" s="563"/>
      <c r="K130" s="563"/>
      <c r="L130" s="563"/>
      <c r="M130" s="563"/>
      <c r="N130" s="414"/>
      <c r="O130" s="414"/>
      <c r="P130" s="414"/>
      <c r="Q130" s="414"/>
      <c r="R130" s="414"/>
      <c r="S130" s="414"/>
      <c r="T130" s="414"/>
      <c r="U130" s="414"/>
      <c r="V130" s="414"/>
      <c r="W130" s="414"/>
      <c r="X130" s="414"/>
      <c r="Y130" s="414"/>
      <c r="Z130" s="416"/>
      <c r="AA130" s="348"/>
      <c r="AB130" s="348"/>
      <c r="AC130" s="348"/>
      <c r="AD130" s="348"/>
      <c r="AE130" s="348"/>
      <c r="AF130" s="348"/>
      <c r="AG130" s="348"/>
      <c r="AH130" s="348"/>
      <c r="AI130" s="349"/>
      <c r="AJ130" s="349"/>
      <c r="AK130" s="350"/>
      <c r="AL130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0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0" s="551" t="str">
        <f>IF(bhpc_data[[#This Row],[hs_code]]="","",IF(bhpc_data[[#This Row],[hs_code]]="33030090",bhpc_data[[#This Row],[tot_order]]/bhpc_data[[#This Row],[units_per_carton]]*bhpc_data[[#This Row],[net_weight]],0))</f>
        <v/>
      </c>
      <c r="AO130" s="568" t="str">
        <f>IFERROR(bhpc_data[[#This Row],[tot_order]]/bhpc_data[[#This Row],[units_per_carton]]/bhpc_data[[#This Row],[box_per_europallet]],"")</f>
        <v/>
      </c>
      <c r="AP130" s="568" t="str">
        <f>IFERROR(bhpc_data[[#This Row],[tot_order]]/bhpc_data[[#This Row],[units_per_carton]]/bhpc_data[[#This Row],[box_per_pallet]],"")</f>
        <v/>
      </c>
      <c r="AQ130" s="581" t="str">
        <f>IFERROR(ROUNDUP(bhpc_data[[#This Row],[pallet_euro]],0),"")</f>
        <v/>
      </c>
      <c r="AR130" s="581" t="str">
        <f>IFERROR(ROUNDUP(bhpc_data[[#This Row],[pallet]],0),"")</f>
        <v/>
      </c>
    </row>
    <row r="131" spans="1:44">
      <c r="A131" s="417" t="s">
        <v>1020</v>
      </c>
      <c r="B131" s="414" t="s">
        <v>1159</v>
      </c>
      <c r="C131" s="417">
        <v>1</v>
      </c>
      <c r="D131" s="417" t="s">
        <v>38</v>
      </c>
      <c r="E131" s="418" t="s">
        <v>1216</v>
      </c>
      <c r="F131" s="593"/>
      <c r="G131" s="417" t="s">
        <v>1058</v>
      </c>
      <c r="H131" s="416" t="s">
        <v>1160</v>
      </c>
      <c r="I131" s="563"/>
      <c r="J131" s="563"/>
      <c r="K131" s="563"/>
      <c r="L131" s="563"/>
      <c r="M131" s="563"/>
      <c r="N131" s="414"/>
      <c r="O131" s="414"/>
      <c r="P131" s="414"/>
      <c r="Q131" s="414"/>
      <c r="R131" s="414"/>
      <c r="S131" s="414"/>
      <c r="T131" s="414"/>
      <c r="U131" s="414"/>
      <c r="V131" s="414"/>
      <c r="W131" s="414"/>
      <c r="X131" s="414"/>
      <c r="Y131" s="414"/>
      <c r="Z131" s="416"/>
      <c r="AA131" s="351"/>
      <c r="AB131" s="351"/>
      <c r="AC131" s="351"/>
      <c r="AD131" s="351"/>
      <c r="AE131" s="351"/>
      <c r="AF131" s="351"/>
      <c r="AG131" s="351"/>
      <c r="AH131" s="351"/>
      <c r="AI131" s="352"/>
      <c r="AJ131" s="352"/>
      <c r="AK131" s="353"/>
      <c r="AL131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1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1" s="551" t="str">
        <f>IF(bhpc_data[[#This Row],[hs_code]]="","",IF(bhpc_data[[#This Row],[hs_code]]="33030090",bhpc_data[[#This Row],[tot_order]]/bhpc_data[[#This Row],[units_per_carton]]*bhpc_data[[#This Row],[net_weight]],0))</f>
        <v/>
      </c>
      <c r="AO131" s="568" t="str">
        <f>IFERROR(bhpc_data[[#This Row],[tot_order]]/bhpc_data[[#This Row],[units_per_carton]]/bhpc_data[[#This Row],[box_per_europallet]],"")</f>
        <v/>
      </c>
      <c r="AP131" s="568" t="str">
        <f>IFERROR(bhpc_data[[#This Row],[tot_order]]/bhpc_data[[#This Row],[units_per_carton]]/bhpc_data[[#This Row],[box_per_pallet]],"")</f>
        <v/>
      </c>
      <c r="AQ131" s="581" t="str">
        <f>IFERROR(ROUNDUP(bhpc_data[[#This Row],[pallet_euro]],0),"")</f>
        <v/>
      </c>
      <c r="AR131" s="581" t="str">
        <f>IFERROR(ROUNDUP(bhpc_data[[#This Row],[pallet]],0),"")</f>
        <v/>
      </c>
    </row>
    <row r="132" spans="1:44">
      <c r="A132" s="417" t="s">
        <v>1021</v>
      </c>
      <c r="B132" s="414" t="s">
        <v>1159</v>
      </c>
      <c r="C132" s="417">
        <v>1</v>
      </c>
      <c r="D132" s="417" t="s">
        <v>38</v>
      </c>
      <c r="E132" s="418" t="s">
        <v>1217</v>
      </c>
      <c r="F132" s="593"/>
      <c r="G132" s="417" t="s">
        <v>1059</v>
      </c>
      <c r="H132" s="416" t="s">
        <v>1160</v>
      </c>
      <c r="I132" s="563"/>
      <c r="J132" s="563"/>
      <c r="K132" s="563"/>
      <c r="L132" s="563"/>
      <c r="M132" s="563"/>
      <c r="N132" s="414"/>
      <c r="O132" s="414"/>
      <c r="P132" s="414"/>
      <c r="Q132" s="414"/>
      <c r="R132" s="414"/>
      <c r="S132" s="414"/>
      <c r="T132" s="414"/>
      <c r="U132" s="414"/>
      <c r="V132" s="414"/>
      <c r="W132" s="414"/>
      <c r="X132" s="414"/>
      <c r="Y132" s="414"/>
      <c r="Z132" s="416"/>
      <c r="AA132" s="348"/>
      <c r="AB132" s="348"/>
      <c r="AC132" s="348"/>
      <c r="AD132" s="348"/>
      <c r="AE132" s="348"/>
      <c r="AF132" s="348"/>
      <c r="AG132" s="348"/>
      <c r="AH132" s="348"/>
      <c r="AI132" s="349"/>
      <c r="AJ132" s="349"/>
      <c r="AK132" s="350"/>
      <c r="AL132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2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2" s="551" t="str">
        <f>IF(bhpc_data[[#This Row],[hs_code]]="","",IF(bhpc_data[[#This Row],[hs_code]]="33030090",bhpc_data[[#This Row],[tot_order]]/bhpc_data[[#This Row],[units_per_carton]]*bhpc_data[[#This Row],[net_weight]],0))</f>
        <v/>
      </c>
      <c r="AO132" s="568" t="str">
        <f>IFERROR(bhpc_data[[#This Row],[tot_order]]/bhpc_data[[#This Row],[units_per_carton]]/bhpc_data[[#This Row],[box_per_europallet]],"")</f>
        <v/>
      </c>
      <c r="AP132" s="568" t="str">
        <f>IFERROR(bhpc_data[[#This Row],[tot_order]]/bhpc_data[[#This Row],[units_per_carton]]/bhpc_data[[#This Row],[box_per_pallet]],"")</f>
        <v/>
      </c>
      <c r="AQ132" s="581" t="str">
        <f>IFERROR(ROUNDUP(bhpc_data[[#This Row],[pallet_euro]],0),"")</f>
        <v/>
      </c>
      <c r="AR132" s="581" t="str">
        <f>IFERROR(ROUNDUP(bhpc_data[[#This Row],[pallet]],0),"")</f>
        <v/>
      </c>
    </row>
    <row r="133" spans="1:44">
      <c r="A133" s="417" t="s">
        <v>1022</v>
      </c>
      <c r="B133" s="414" t="s">
        <v>1159</v>
      </c>
      <c r="C133" s="417">
        <v>1</v>
      </c>
      <c r="D133" s="417" t="s">
        <v>38</v>
      </c>
      <c r="E133" s="418" t="s">
        <v>1218</v>
      </c>
      <c r="F133" s="593"/>
      <c r="G133" s="417" t="s">
        <v>1060</v>
      </c>
      <c r="H133" s="416" t="s">
        <v>1160</v>
      </c>
      <c r="I133" s="563"/>
      <c r="J133" s="563"/>
      <c r="K133" s="563"/>
      <c r="L133" s="563"/>
      <c r="M133" s="563"/>
      <c r="N133" s="414"/>
      <c r="O133" s="414"/>
      <c r="P133" s="414"/>
      <c r="Q133" s="414"/>
      <c r="R133" s="414"/>
      <c r="S133" s="414"/>
      <c r="T133" s="414"/>
      <c r="U133" s="414"/>
      <c r="V133" s="414"/>
      <c r="W133" s="414"/>
      <c r="X133" s="414"/>
      <c r="Y133" s="414"/>
      <c r="Z133" s="416"/>
      <c r="AA133" s="351"/>
      <c r="AB133" s="351"/>
      <c r="AC133" s="351"/>
      <c r="AD133" s="351"/>
      <c r="AE133" s="351"/>
      <c r="AF133" s="351"/>
      <c r="AG133" s="351"/>
      <c r="AH133" s="351"/>
      <c r="AI133" s="352"/>
      <c r="AJ133" s="352"/>
      <c r="AK133" s="353"/>
      <c r="AL133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3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3" s="551" t="str">
        <f>IF(bhpc_data[[#This Row],[hs_code]]="","",IF(bhpc_data[[#This Row],[hs_code]]="33030090",bhpc_data[[#This Row],[tot_order]]/bhpc_data[[#This Row],[units_per_carton]]*bhpc_data[[#This Row],[net_weight]],0))</f>
        <v/>
      </c>
      <c r="AO133" s="568" t="str">
        <f>IFERROR(bhpc_data[[#This Row],[tot_order]]/bhpc_data[[#This Row],[units_per_carton]]/bhpc_data[[#This Row],[box_per_europallet]],"")</f>
        <v/>
      </c>
      <c r="AP133" s="568" t="str">
        <f>IFERROR(bhpc_data[[#This Row],[tot_order]]/bhpc_data[[#This Row],[units_per_carton]]/bhpc_data[[#This Row],[box_per_pallet]],"")</f>
        <v/>
      </c>
      <c r="AQ133" s="581" t="str">
        <f>IFERROR(ROUNDUP(bhpc_data[[#This Row],[pallet_euro]],0),"")</f>
        <v/>
      </c>
      <c r="AR133" s="581" t="str">
        <f>IFERROR(ROUNDUP(bhpc_data[[#This Row],[pallet]],0),"")</f>
        <v/>
      </c>
    </row>
    <row r="134" spans="1:44">
      <c r="A134" s="417" t="s">
        <v>1023</v>
      </c>
      <c r="B134" s="414" t="s">
        <v>1159</v>
      </c>
      <c r="C134" s="417">
        <v>1</v>
      </c>
      <c r="D134" s="417" t="s">
        <v>38</v>
      </c>
      <c r="E134" s="418" t="s">
        <v>1219</v>
      </c>
      <c r="F134" s="593"/>
      <c r="G134" s="417" t="s">
        <v>1061</v>
      </c>
      <c r="H134" s="416" t="s">
        <v>1160</v>
      </c>
      <c r="I134" s="563"/>
      <c r="J134" s="563"/>
      <c r="K134" s="563"/>
      <c r="L134" s="563"/>
      <c r="M134" s="563"/>
      <c r="N134" s="414"/>
      <c r="O134" s="414"/>
      <c r="P134" s="414"/>
      <c r="Q134" s="414"/>
      <c r="R134" s="414"/>
      <c r="S134" s="414"/>
      <c r="T134" s="414"/>
      <c r="U134" s="414"/>
      <c r="V134" s="414"/>
      <c r="W134" s="414"/>
      <c r="X134" s="414"/>
      <c r="Y134" s="414"/>
      <c r="Z134" s="416"/>
      <c r="AA134" s="348"/>
      <c r="AB134" s="348"/>
      <c r="AC134" s="348"/>
      <c r="AD134" s="348"/>
      <c r="AE134" s="348"/>
      <c r="AF134" s="348"/>
      <c r="AG134" s="348"/>
      <c r="AH134" s="348"/>
      <c r="AI134" s="349"/>
      <c r="AJ134" s="349"/>
      <c r="AK134" s="350"/>
      <c r="AL134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4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4" s="551" t="str">
        <f>IF(bhpc_data[[#This Row],[hs_code]]="","",IF(bhpc_data[[#This Row],[hs_code]]="33030090",bhpc_data[[#This Row],[tot_order]]/bhpc_data[[#This Row],[units_per_carton]]*bhpc_data[[#This Row],[net_weight]],0))</f>
        <v/>
      </c>
      <c r="AO134" s="568" t="str">
        <f>IFERROR(bhpc_data[[#This Row],[tot_order]]/bhpc_data[[#This Row],[units_per_carton]]/bhpc_data[[#This Row],[box_per_europallet]],"")</f>
        <v/>
      </c>
      <c r="AP134" s="568" t="str">
        <f>IFERROR(bhpc_data[[#This Row],[tot_order]]/bhpc_data[[#This Row],[units_per_carton]]/bhpc_data[[#This Row],[box_per_pallet]],"")</f>
        <v/>
      </c>
      <c r="AQ134" s="581" t="str">
        <f>IFERROR(ROUNDUP(bhpc_data[[#This Row],[pallet_euro]],0),"")</f>
        <v/>
      </c>
      <c r="AR134" s="581" t="str">
        <f>IFERROR(ROUNDUP(bhpc_data[[#This Row],[pallet]],0),"")</f>
        <v/>
      </c>
    </row>
    <row r="135" spans="1:44">
      <c r="A135" s="417" t="s">
        <v>1024</v>
      </c>
      <c r="B135" s="414" t="s">
        <v>1159</v>
      </c>
      <c r="C135" s="417">
        <v>1</v>
      </c>
      <c r="D135" s="417" t="s">
        <v>38</v>
      </c>
      <c r="E135" s="418" t="s">
        <v>1220</v>
      </c>
      <c r="F135" s="593"/>
      <c r="G135" s="417" t="s">
        <v>1062</v>
      </c>
      <c r="H135" s="416" t="s">
        <v>1160</v>
      </c>
      <c r="I135" s="563"/>
      <c r="J135" s="563"/>
      <c r="K135" s="563"/>
      <c r="L135" s="563"/>
      <c r="M135" s="563"/>
      <c r="N135" s="414"/>
      <c r="O135" s="414"/>
      <c r="P135" s="414"/>
      <c r="Q135" s="414"/>
      <c r="R135" s="414"/>
      <c r="S135" s="414"/>
      <c r="T135" s="414"/>
      <c r="U135" s="414"/>
      <c r="V135" s="414"/>
      <c r="W135" s="414"/>
      <c r="X135" s="414"/>
      <c r="Y135" s="414"/>
      <c r="Z135" s="416"/>
      <c r="AA135" s="351"/>
      <c r="AB135" s="351"/>
      <c r="AC135" s="351"/>
      <c r="AD135" s="351"/>
      <c r="AE135" s="351"/>
      <c r="AF135" s="351"/>
      <c r="AG135" s="351"/>
      <c r="AH135" s="351"/>
      <c r="AI135" s="352"/>
      <c r="AJ135" s="352"/>
      <c r="AK135" s="353"/>
      <c r="AL135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5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5" s="551" t="str">
        <f>IF(bhpc_data[[#This Row],[hs_code]]="","",IF(bhpc_data[[#This Row],[hs_code]]="33030090",bhpc_data[[#This Row],[tot_order]]/bhpc_data[[#This Row],[units_per_carton]]*bhpc_data[[#This Row],[net_weight]],0))</f>
        <v/>
      </c>
      <c r="AO135" s="568" t="str">
        <f>IFERROR(bhpc_data[[#This Row],[tot_order]]/bhpc_data[[#This Row],[units_per_carton]]/bhpc_data[[#This Row],[box_per_europallet]],"")</f>
        <v/>
      </c>
      <c r="AP135" s="568" t="str">
        <f>IFERROR(bhpc_data[[#This Row],[tot_order]]/bhpc_data[[#This Row],[units_per_carton]]/bhpc_data[[#This Row],[box_per_pallet]],"")</f>
        <v/>
      </c>
      <c r="AQ135" s="581" t="str">
        <f>IFERROR(ROUNDUP(bhpc_data[[#This Row],[pallet_euro]],0),"")</f>
        <v/>
      </c>
      <c r="AR135" s="581" t="str">
        <f>IFERROR(ROUNDUP(bhpc_data[[#This Row],[pallet]],0),"")</f>
        <v/>
      </c>
    </row>
    <row r="136" spans="1:44">
      <c r="A136" s="417" t="s">
        <v>1025</v>
      </c>
      <c r="B136" s="414" t="s">
        <v>1159</v>
      </c>
      <c r="C136" s="417">
        <v>1</v>
      </c>
      <c r="D136" s="417" t="s">
        <v>38</v>
      </c>
      <c r="E136" s="418" t="s">
        <v>1221</v>
      </c>
      <c r="F136" s="593"/>
      <c r="G136" s="417" t="s">
        <v>1063</v>
      </c>
      <c r="H136" s="416" t="s">
        <v>1160</v>
      </c>
      <c r="I136" s="563"/>
      <c r="J136" s="563"/>
      <c r="K136" s="563"/>
      <c r="L136" s="563"/>
      <c r="M136" s="563"/>
      <c r="N136" s="414"/>
      <c r="O136" s="414"/>
      <c r="P136" s="414"/>
      <c r="Q136" s="414"/>
      <c r="R136" s="414"/>
      <c r="S136" s="414"/>
      <c r="T136" s="414"/>
      <c r="U136" s="414"/>
      <c r="V136" s="414"/>
      <c r="W136" s="414"/>
      <c r="X136" s="414"/>
      <c r="Y136" s="414"/>
      <c r="Z136" s="416"/>
      <c r="AA136" s="348"/>
      <c r="AB136" s="348"/>
      <c r="AC136" s="348"/>
      <c r="AD136" s="348"/>
      <c r="AE136" s="348"/>
      <c r="AF136" s="348"/>
      <c r="AG136" s="348"/>
      <c r="AH136" s="348"/>
      <c r="AI136" s="349"/>
      <c r="AJ136" s="349"/>
      <c r="AK136" s="350"/>
      <c r="AL136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6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6" s="551" t="str">
        <f>IF(bhpc_data[[#This Row],[hs_code]]="","",IF(bhpc_data[[#This Row],[hs_code]]="33030090",bhpc_data[[#This Row],[tot_order]]/bhpc_data[[#This Row],[units_per_carton]]*bhpc_data[[#This Row],[net_weight]],0))</f>
        <v/>
      </c>
      <c r="AO136" s="568" t="str">
        <f>IFERROR(bhpc_data[[#This Row],[tot_order]]/bhpc_data[[#This Row],[units_per_carton]]/bhpc_data[[#This Row],[box_per_europallet]],"")</f>
        <v/>
      </c>
      <c r="AP136" s="568" t="str">
        <f>IFERROR(bhpc_data[[#This Row],[tot_order]]/bhpc_data[[#This Row],[units_per_carton]]/bhpc_data[[#This Row],[box_per_pallet]],"")</f>
        <v/>
      </c>
      <c r="AQ136" s="581" t="str">
        <f>IFERROR(ROUNDUP(bhpc_data[[#This Row],[pallet_euro]],0),"")</f>
        <v/>
      </c>
      <c r="AR136" s="581" t="str">
        <f>IFERROR(ROUNDUP(bhpc_data[[#This Row],[pallet]],0),"")</f>
        <v/>
      </c>
    </row>
    <row r="137" spans="1:44">
      <c r="A137" s="417" t="s">
        <v>1026</v>
      </c>
      <c r="B137" s="414" t="s">
        <v>1159</v>
      </c>
      <c r="C137" s="417">
        <v>1</v>
      </c>
      <c r="D137" s="417" t="s">
        <v>38</v>
      </c>
      <c r="E137" s="418" t="s">
        <v>1222</v>
      </c>
      <c r="F137" s="593"/>
      <c r="G137" s="417" t="s">
        <v>1064</v>
      </c>
      <c r="H137" s="416" t="s">
        <v>1160</v>
      </c>
      <c r="I137" s="563"/>
      <c r="J137" s="563"/>
      <c r="K137" s="563"/>
      <c r="L137" s="563"/>
      <c r="M137" s="563"/>
      <c r="N137" s="414"/>
      <c r="O137" s="414"/>
      <c r="P137" s="414"/>
      <c r="Q137" s="414"/>
      <c r="R137" s="414"/>
      <c r="S137" s="414"/>
      <c r="T137" s="414"/>
      <c r="U137" s="414"/>
      <c r="V137" s="414"/>
      <c r="W137" s="414"/>
      <c r="X137" s="414"/>
      <c r="Y137" s="414"/>
      <c r="Z137" s="416"/>
      <c r="AA137" s="351"/>
      <c r="AB137" s="351"/>
      <c r="AC137" s="351"/>
      <c r="AD137" s="351"/>
      <c r="AE137" s="351"/>
      <c r="AF137" s="351"/>
      <c r="AG137" s="351"/>
      <c r="AH137" s="351"/>
      <c r="AI137" s="352"/>
      <c r="AJ137" s="352"/>
      <c r="AK137" s="353"/>
      <c r="AL137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7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7" s="551" t="str">
        <f>IF(bhpc_data[[#This Row],[hs_code]]="","",IF(bhpc_data[[#This Row],[hs_code]]="33030090",bhpc_data[[#This Row],[tot_order]]/bhpc_data[[#This Row],[units_per_carton]]*bhpc_data[[#This Row],[net_weight]],0))</f>
        <v/>
      </c>
      <c r="AO137" s="568" t="str">
        <f>IFERROR(bhpc_data[[#This Row],[tot_order]]/bhpc_data[[#This Row],[units_per_carton]]/bhpc_data[[#This Row],[box_per_europallet]],"")</f>
        <v/>
      </c>
      <c r="AP137" s="568" t="str">
        <f>IFERROR(bhpc_data[[#This Row],[tot_order]]/bhpc_data[[#This Row],[units_per_carton]]/bhpc_data[[#This Row],[box_per_pallet]],"")</f>
        <v/>
      </c>
      <c r="AQ137" s="581" t="str">
        <f>IFERROR(ROUNDUP(bhpc_data[[#This Row],[pallet_euro]],0),"")</f>
        <v/>
      </c>
      <c r="AR137" s="581" t="str">
        <f>IFERROR(ROUNDUP(bhpc_data[[#This Row],[pallet]],0),"")</f>
        <v/>
      </c>
    </row>
    <row r="138" spans="1:44">
      <c r="A138" s="417" t="s">
        <v>1027</v>
      </c>
      <c r="B138" s="414" t="s">
        <v>1159</v>
      </c>
      <c r="C138" s="417">
        <v>1</v>
      </c>
      <c r="D138" s="417" t="s">
        <v>38</v>
      </c>
      <c r="E138" s="418" t="s">
        <v>1223</v>
      </c>
      <c r="F138" s="593"/>
      <c r="G138" s="417" t="s">
        <v>1065</v>
      </c>
      <c r="H138" s="416" t="s">
        <v>1160</v>
      </c>
      <c r="I138" s="563"/>
      <c r="J138" s="563"/>
      <c r="K138" s="563"/>
      <c r="L138" s="563"/>
      <c r="M138" s="563"/>
      <c r="N138" s="414"/>
      <c r="O138" s="414"/>
      <c r="P138" s="414"/>
      <c r="Q138" s="414"/>
      <c r="R138" s="414"/>
      <c r="S138" s="414"/>
      <c r="T138" s="414"/>
      <c r="U138" s="414"/>
      <c r="V138" s="414"/>
      <c r="W138" s="414"/>
      <c r="X138" s="414"/>
      <c r="Y138" s="414"/>
      <c r="Z138" s="416"/>
      <c r="AA138" s="348"/>
      <c r="AB138" s="348"/>
      <c r="AC138" s="348"/>
      <c r="AD138" s="348"/>
      <c r="AE138" s="348"/>
      <c r="AF138" s="348"/>
      <c r="AG138" s="348"/>
      <c r="AH138" s="348"/>
      <c r="AI138" s="349"/>
      <c r="AJ138" s="349"/>
      <c r="AK138" s="350"/>
      <c r="AL138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8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8" s="551" t="str">
        <f>IF(bhpc_data[[#This Row],[hs_code]]="","",IF(bhpc_data[[#This Row],[hs_code]]="33030090",bhpc_data[[#This Row],[tot_order]]/bhpc_data[[#This Row],[units_per_carton]]*bhpc_data[[#This Row],[net_weight]],0))</f>
        <v/>
      </c>
      <c r="AO138" s="568" t="str">
        <f>IFERROR(bhpc_data[[#This Row],[tot_order]]/bhpc_data[[#This Row],[units_per_carton]]/bhpc_data[[#This Row],[box_per_europallet]],"")</f>
        <v/>
      </c>
      <c r="AP138" s="568" t="str">
        <f>IFERROR(bhpc_data[[#This Row],[tot_order]]/bhpc_data[[#This Row],[units_per_carton]]/bhpc_data[[#This Row],[box_per_pallet]],"")</f>
        <v/>
      </c>
      <c r="AQ138" s="581" t="str">
        <f>IFERROR(ROUNDUP(bhpc_data[[#This Row],[pallet_euro]],0),"")</f>
        <v/>
      </c>
      <c r="AR138" s="581" t="str">
        <f>IFERROR(ROUNDUP(bhpc_data[[#This Row],[pallet]],0),"")</f>
        <v/>
      </c>
    </row>
    <row r="139" spans="1:44">
      <c r="A139" s="417" t="s">
        <v>1028</v>
      </c>
      <c r="B139" s="414" t="s">
        <v>1159</v>
      </c>
      <c r="C139" s="417">
        <v>1</v>
      </c>
      <c r="D139" s="417" t="s">
        <v>38</v>
      </c>
      <c r="E139" s="418" t="s">
        <v>1224</v>
      </c>
      <c r="F139" s="593"/>
      <c r="G139" s="417" t="s">
        <v>1066</v>
      </c>
      <c r="H139" s="416" t="s">
        <v>1160</v>
      </c>
      <c r="I139" s="563"/>
      <c r="J139" s="563"/>
      <c r="K139" s="563"/>
      <c r="L139" s="563"/>
      <c r="M139" s="563"/>
      <c r="N139" s="414"/>
      <c r="O139" s="414"/>
      <c r="P139" s="414"/>
      <c r="Q139" s="414"/>
      <c r="R139" s="414"/>
      <c r="S139" s="414"/>
      <c r="T139" s="414"/>
      <c r="U139" s="414"/>
      <c r="V139" s="414"/>
      <c r="W139" s="414"/>
      <c r="X139" s="414"/>
      <c r="Y139" s="414"/>
      <c r="Z139" s="416"/>
      <c r="AA139" s="351"/>
      <c r="AB139" s="351"/>
      <c r="AC139" s="351"/>
      <c r="AD139" s="351"/>
      <c r="AE139" s="351"/>
      <c r="AF139" s="351"/>
      <c r="AG139" s="351"/>
      <c r="AH139" s="351"/>
      <c r="AI139" s="352"/>
      <c r="AJ139" s="352"/>
      <c r="AK139" s="353"/>
      <c r="AL139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39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39" s="551" t="str">
        <f>IF(bhpc_data[[#This Row],[hs_code]]="","",IF(bhpc_data[[#This Row],[hs_code]]="33030090",bhpc_data[[#This Row],[tot_order]]/bhpc_data[[#This Row],[units_per_carton]]*bhpc_data[[#This Row],[net_weight]],0))</f>
        <v/>
      </c>
      <c r="AO139" s="568" t="str">
        <f>IFERROR(bhpc_data[[#This Row],[tot_order]]/bhpc_data[[#This Row],[units_per_carton]]/bhpc_data[[#This Row],[box_per_europallet]],"")</f>
        <v/>
      </c>
      <c r="AP139" s="568" t="str">
        <f>IFERROR(bhpc_data[[#This Row],[tot_order]]/bhpc_data[[#This Row],[units_per_carton]]/bhpc_data[[#This Row],[box_per_pallet]],"")</f>
        <v/>
      </c>
      <c r="AQ139" s="581" t="str">
        <f>IFERROR(ROUNDUP(bhpc_data[[#This Row],[pallet_euro]],0),"")</f>
        <v/>
      </c>
      <c r="AR139" s="581" t="str">
        <f>IFERROR(ROUNDUP(bhpc_data[[#This Row],[pallet]],0),"")</f>
        <v/>
      </c>
    </row>
    <row r="140" spans="1:44">
      <c r="A140" s="417" t="s">
        <v>1029</v>
      </c>
      <c r="B140" s="414" t="s">
        <v>1159</v>
      </c>
      <c r="C140" s="417">
        <v>1</v>
      </c>
      <c r="D140" s="417" t="s">
        <v>38</v>
      </c>
      <c r="E140" s="418" t="s">
        <v>1225</v>
      </c>
      <c r="F140" s="593"/>
      <c r="G140" s="417" t="s">
        <v>1067</v>
      </c>
      <c r="H140" s="416" t="s">
        <v>1160</v>
      </c>
      <c r="I140" s="563"/>
      <c r="J140" s="563"/>
      <c r="K140" s="563"/>
      <c r="L140" s="563"/>
      <c r="M140" s="563"/>
      <c r="N140" s="414"/>
      <c r="O140" s="414"/>
      <c r="P140" s="414"/>
      <c r="Q140" s="414"/>
      <c r="R140" s="414"/>
      <c r="S140" s="414"/>
      <c r="T140" s="414"/>
      <c r="U140" s="414"/>
      <c r="V140" s="414"/>
      <c r="W140" s="414"/>
      <c r="X140" s="414"/>
      <c r="Y140" s="414"/>
      <c r="Z140" s="416"/>
      <c r="AA140" s="348"/>
      <c r="AB140" s="348"/>
      <c r="AC140" s="348"/>
      <c r="AD140" s="348"/>
      <c r="AE140" s="348"/>
      <c r="AF140" s="348"/>
      <c r="AG140" s="348"/>
      <c r="AH140" s="348"/>
      <c r="AI140" s="349"/>
      <c r="AJ140" s="349"/>
      <c r="AK140" s="350"/>
      <c r="AL140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0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0" s="551" t="str">
        <f>IF(bhpc_data[[#This Row],[hs_code]]="","",IF(bhpc_data[[#This Row],[hs_code]]="33030090",bhpc_data[[#This Row],[tot_order]]/bhpc_data[[#This Row],[units_per_carton]]*bhpc_data[[#This Row],[net_weight]],0))</f>
        <v/>
      </c>
      <c r="AO140" s="568" t="str">
        <f>IFERROR(bhpc_data[[#This Row],[tot_order]]/bhpc_data[[#This Row],[units_per_carton]]/bhpc_data[[#This Row],[box_per_europallet]],"")</f>
        <v/>
      </c>
      <c r="AP140" s="568" t="str">
        <f>IFERROR(bhpc_data[[#This Row],[tot_order]]/bhpc_data[[#This Row],[units_per_carton]]/bhpc_data[[#This Row],[box_per_pallet]],"")</f>
        <v/>
      </c>
      <c r="AQ140" s="581" t="str">
        <f>IFERROR(ROUNDUP(bhpc_data[[#This Row],[pallet_euro]],0),"")</f>
        <v/>
      </c>
      <c r="AR140" s="581" t="str">
        <f>IFERROR(ROUNDUP(bhpc_data[[#This Row],[pallet]],0),"")</f>
        <v/>
      </c>
    </row>
    <row r="141" spans="1:44">
      <c r="A141" s="417" t="s">
        <v>1030</v>
      </c>
      <c r="B141" s="414" t="s">
        <v>1159</v>
      </c>
      <c r="C141" s="417">
        <v>1</v>
      </c>
      <c r="D141" s="417" t="s">
        <v>38</v>
      </c>
      <c r="E141" s="418" t="s">
        <v>1226</v>
      </c>
      <c r="F141" s="593"/>
      <c r="G141" s="417" t="s">
        <v>1068</v>
      </c>
      <c r="H141" s="416" t="s">
        <v>1160</v>
      </c>
      <c r="I141" s="563"/>
      <c r="J141" s="563"/>
      <c r="K141" s="563"/>
      <c r="L141" s="563"/>
      <c r="M141" s="563"/>
      <c r="N141" s="414"/>
      <c r="O141" s="414"/>
      <c r="P141" s="414"/>
      <c r="Q141" s="414"/>
      <c r="R141" s="414"/>
      <c r="S141" s="414"/>
      <c r="T141" s="414"/>
      <c r="U141" s="414"/>
      <c r="V141" s="414"/>
      <c r="W141" s="414"/>
      <c r="X141" s="414"/>
      <c r="Y141" s="414"/>
      <c r="Z141" s="416"/>
      <c r="AA141" s="351"/>
      <c r="AB141" s="351"/>
      <c r="AC141" s="351"/>
      <c r="AD141" s="351"/>
      <c r="AE141" s="351"/>
      <c r="AF141" s="351"/>
      <c r="AG141" s="351"/>
      <c r="AH141" s="351"/>
      <c r="AI141" s="352"/>
      <c r="AJ141" s="352"/>
      <c r="AK141" s="353"/>
      <c r="AL141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1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1" s="551" t="str">
        <f>IF(bhpc_data[[#This Row],[hs_code]]="","",IF(bhpc_data[[#This Row],[hs_code]]="33030090",bhpc_data[[#This Row],[tot_order]]/bhpc_data[[#This Row],[units_per_carton]]*bhpc_data[[#This Row],[net_weight]],0))</f>
        <v/>
      </c>
      <c r="AO141" s="568" t="str">
        <f>IFERROR(bhpc_data[[#This Row],[tot_order]]/bhpc_data[[#This Row],[units_per_carton]]/bhpc_data[[#This Row],[box_per_europallet]],"")</f>
        <v/>
      </c>
      <c r="AP141" s="568" t="str">
        <f>IFERROR(bhpc_data[[#This Row],[tot_order]]/bhpc_data[[#This Row],[units_per_carton]]/bhpc_data[[#This Row],[box_per_pallet]],"")</f>
        <v/>
      </c>
      <c r="AQ141" s="581" t="str">
        <f>IFERROR(ROUNDUP(bhpc_data[[#This Row],[pallet_euro]],0),"")</f>
        <v/>
      </c>
      <c r="AR141" s="581" t="str">
        <f>IFERROR(ROUNDUP(bhpc_data[[#This Row],[pallet]],0),"")</f>
        <v/>
      </c>
    </row>
    <row r="142" spans="1:44">
      <c r="A142" s="417" t="s">
        <v>1031</v>
      </c>
      <c r="B142" s="414" t="s">
        <v>1159</v>
      </c>
      <c r="C142" s="417">
        <v>1</v>
      </c>
      <c r="D142" s="417" t="s">
        <v>38</v>
      </c>
      <c r="E142" s="418" t="s">
        <v>1227</v>
      </c>
      <c r="F142" s="593"/>
      <c r="G142" s="417" t="s">
        <v>1069</v>
      </c>
      <c r="H142" s="416" t="s">
        <v>1160</v>
      </c>
      <c r="I142" s="563"/>
      <c r="J142" s="563"/>
      <c r="K142" s="563"/>
      <c r="L142" s="563"/>
      <c r="M142" s="563"/>
      <c r="N142" s="414"/>
      <c r="O142" s="414"/>
      <c r="P142" s="414"/>
      <c r="Q142" s="414"/>
      <c r="R142" s="414"/>
      <c r="S142" s="414"/>
      <c r="T142" s="414"/>
      <c r="U142" s="414"/>
      <c r="V142" s="414"/>
      <c r="W142" s="414"/>
      <c r="X142" s="414"/>
      <c r="Y142" s="414"/>
      <c r="Z142" s="416"/>
      <c r="AA142" s="348"/>
      <c r="AB142" s="348"/>
      <c r="AC142" s="348"/>
      <c r="AD142" s="348"/>
      <c r="AE142" s="348"/>
      <c r="AF142" s="348"/>
      <c r="AG142" s="348"/>
      <c r="AH142" s="348"/>
      <c r="AI142" s="349"/>
      <c r="AJ142" s="349"/>
      <c r="AK142" s="350"/>
      <c r="AL142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2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2" s="551" t="str">
        <f>IF(bhpc_data[[#This Row],[hs_code]]="","",IF(bhpc_data[[#This Row],[hs_code]]="33030090",bhpc_data[[#This Row],[tot_order]]/bhpc_data[[#This Row],[units_per_carton]]*bhpc_data[[#This Row],[net_weight]],0))</f>
        <v/>
      </c>
      <c r="AO142" s="568" t="str">
        <f>IFERROR(bhpc_data[[#This Row],[tot_order]]/bhpc_data[[#This Row],[units_per_carton]]/bhpc_data[[#This Row],[box_per_europallet]],"")</f>
        <v/>
      </c>
      <c r="AP142" s="568" t="str">
        <f>IFERROR(bhpc_data[[#This Row],[tot_order]]/bhpc_data[[#This Row],[units_per_carton]]/bhpc_data[[#This Row],[box_per_pallet]],"")</f>
        <v/>
      </c>
      <c r="AQ142" s="581" t="str">
        <f>IFERROR(ROUNDUP(bhpc_data[[#This Row],[pallet_euro]],0),"")</f>
        <v/>
      </c>
      <c r="AR142" s="581" t="str">
        <f>IFERROR(ROUNDUP(bhpc_data[[#This Row],[pallet]],0),"")</f>
        <v/>
      </c>
    </row>
    <row r="143" spans="1:44">
      <c r="A143" s="417" t="s">
        <v>1032</v>
      </c>
      <c r="B143" s="414" t="s">
        <v>1159</v>
      </c>
      <c r="C143" s="417">
        <v>1</v>
      </c>
      <c r="D143" s="417" t="s">
        <v>38</v>
      </c>
      <c r="E143" s="418" t="s">
        <v>1228</v>
      </c>
      <c r="F143" s="593"/>
      <c r="G143" s="417" t="s">
        <v>1070</v>
      </c>
      <c r="H143" s="416" t="s">
        <v>1160</v>
      </c>
      <c r="I143" s="563"/>
      <c r="J143" s="563"/>
      <c r="K143" s="563"/>
      <c r="L143" s="563"/>
      <c r="M143" s="563"/>
      <c r="N143" s="414"/>
      <c r="O143" s="414"/>
      <c r="P143" s="414"/>
      <c r="Q143" s="414"/>
      <c r="R143" s="414"/>
      <c r="S143" s="414"/>
      <c r="T143" s="414"/>
      <c r="U143" s="414"/>
      <c r="V143" s="414"/>
      <c r="W143" s="414"/>
      <c r="X143" s="414"/>
      <c r="Y143" s="414"/>
      <c r="Z143" s="416"/>
      <c r="AA143" s="351"/>
      <c r="AB143" s="351"/>
      <c r="AC143" s="351"/>
      <c r="AD143" s="351"/>
      <c r="AE143" s="351"/>
      <c r="AF143" s="351"/>
      <c r="AG143" s="351"/>
      <c r="AH143" s="351"/>
      <c r="AI143" s="352"/>
      <c r="AJ143" s="352"/>
      <c r="AK143" s="353"/>
      <c r="AL143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3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3" s="551" t="str">
        <f>IF(bhpc_data[[#This Row],[hs_code]]="","",IF(bhpc_data[[#This Row],[hs_code]]="33030090",bhpc_data[[#This Row],[tot_order]]/bhpc_data[[#This Row],[units_per_carton]]*bhpc_data[[#This Row],[net_weight]],0))</f>
        <v/>
      </c>
      <c r="AO143" s="568" t="str">
        <f>IFERROR(bhpc_data[[#This Row],[tot_order]]/bhpc_data[[#This Row],[units_per_carton]]/bhpc_data[[#This Row],[box_per_europallet]],"")</f>
        <v/>
      </c>
      <c r="AP143" s="568" t="str">
        <f>IFERROR(bhpc_data[[#This Row],[tot_order]]/bhpc_data[[#This Row],[units_per_carton]]/bhpc_data[[#This Row],[box_per_pallet]],"")</f>
        <v/>
      </c>
      <c r="AQ143" s="581" t="str">
        <f>IFERROR(ROUNDUP(bhpc_data[[#This Row],[pallet_euro]],0),"")</f>
        <v/>
      </c>
      <c r="AR143" s="581" t="str">
        <f>IFERROR(ROUNDUP(bhpc_data[[#This Row],[pallet]],0),"")</f>
        <v/>
      </c>
    </row>
    <row r="144" spans="1:44">
      <c r="A144" s="417" t="s">
        <v>1033</v>
      </c>
      <c r="B144" s="414" t="s">
        <v>1159</v>
      </c>
      <c r="C144" s="417">
        <v>1</v>
      </c>
      <c r="D144" s="417" t="s">
        <v>49</v>
      </c>
      <c r="E144" s="418" t="s">
        <v>1229</v>
      </c>
      <c r="F144" s="593"/>
      <c r="G144" s="417" t="s">
        <v>1071</v>
      </c>
      <c r="H144" s="416" t="s">
        <v>1160</v>
      </c>
      <c r="I144" s="563"/>
      <c r="J144" s="563"/>
      <c r="K144" s="563"/>
      <c r="L144" s="563"/>
      <c r="M144" s="563"/>
      <c r="N144" s="414"/>
      <c r="O144" s="414"/>
      <c r="P144" s="414"/>
      <c r="Q144" s="414"/>
      <c r="R144" s="414"/>
      <c r="S144" s="414"/>
      <c r="T144" s="414"/>
      <c r="U144" s="414"/>
      <c r="V144" s="414"/>
      <c r="W144" s="414"/>
      <c r="X144" s="414"/>
      <c r="Y144" s="414"/>
      <c r="Z144" s="416"/>
      <c r="AA144" s="348"/>
      <c r="AB144" s="348"/>
      <c r="AC144" s="348"/>
      <c r="AD144" s="348"/>
      <c r="AE144" s="348"/>
      <c r="AF144" s="348"/>
      <c r="AG144" s="348"/>
      <c r="AH144" s="348"/>
      <c r="AI144" s="349"/>
      <c r="AJ144" s="349"/>
      <c r="AK144" s="350"/>
      <c r="AL144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4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4" s="551" t="str">
        <f>IF(bhpc_data[[#This Row],[hs_code]]="","",IF(bhpc_data[[#This Row],[hs_code]]="33030090",bhpc_data[[#This Row],[tot_order]]/bhpc_data[[#This Row],[units_per_carton]]*bhpc_data[[#This Row],[net_weight]],0))</f>
        <v/>
      </c>
      <c r="AO144" s="568" t="str">
        <f>IFERROR(bhpc_data[[#This Row],[tot_order]]/bhpc_data[[#This Row],[units_per_carton]]/bhpc_data[[#This Row],[box_per_europallet]],"")</f>
        <v/>
      </c>
      <c r="AP144" s="568" t="str">
        <f>IFERROR(bhpc_data[[#This Row],[tot_order]]/bhpc_data[[#This Row],[units_per_carton]]/bhpc_data[[#This Row],[box_per_pallet]],"")</f>
        <v/>
      </c>
      <c r="AQ144" s="581" t="str">
        <f>IFERROR(ROUNDUP(bhpc_data[[#This Row],[pallet_euro]],0),"")</f>
        <v/>
      </c>
      <c r="AR144" s="581" t="str">
        <f>IFERROR(ROUNDUP(bhpc_data[[#This Row],[pallet]],0),"")</f>
        <v/>
      </c>
    </row>
    <row r="145" spans="1:44">
      <c r="A145" s="417" t="s">
        <v>1034</v>
      </c>
      <c r="B145" s="414" t="s">
        <v>1159</v>
      </c>
      <c r="C145" s="417">
        <v>1</v>
      </c>
      <c r="D145" s="417" t="s">
        <v>49</v>
      </c>
      <c r="E145" s="418" t="s">
        <v>1230</v>
      </c>
      <c r="F145" s="593"/>
      <c r="G145" s="417" t="s">
        <v>1072</v>
      </c>
      <c r="H145" s="416" t="s">
        <v>1160</v>
      </c>
      <c r="I145" s="563"/>
      <c r="J145" s="563"/>
      <c r="K145" s="563"/>
      <c r="L145" s="563"/>
      <c r="M145" s="563"/>
      <c r="N145" s="414"/>
      <c r="O145" s="414"/>
      <c r="P145" s="414"/>
      <c r="Q145" s="414"/>
      <c r="R145" s="414"/>
      <c r="S145" s="414"/>
      <c r="T145" s="414"/>
      <c r="U145" s="414"/>
      <c r="V145" s="414"/>
      <c r="W145" s="414"/>
      <c r="X145" s="414"/>
      <c r="Y145" s="414"/>
      <c r="Z145" s="416"/>
      <c r="AA145" s="351"/>
      <c r="AB145" s="351"/>
      <c r="AC145" s="351"/>
      <c r="AD145" s="351"/>
      <c r="AE145" s="351"/>
      <c r="AF145" s="351"/>
      <c r="AG145" s="351"/>
      <c r="AH145" s="351"/>
      <c r="AI145" s="352"/>
      <c r="AJ145" s="352"/>
      <c r="AK145" s="353"/>
      <c r="AL145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5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5" s="551" t="str">
        <f>IF(bhpc_data[[#This Row],[hs_code]]="","",IF(bhpc_data[[#This Row],[hs_code]]="33030090",bhpc_data[[#This Row],[tot_order]]/bhpc_data[[#This Row],[units_per_carton]]*bhpc_data[[#This Row],[net_weight]],0))</f>
        <v/>
      </c>
      <c r="AO145" s="568" t="str">
        <f>IFERROR(bhpc_data[[#This Row],[tot_order]]/bhpc_data[[#This Row],[units_per_carton]]/bhpc_data[[#This Row],[box_per_europallet]],"")</f>
        <v/>
      </c>
      <c r="AP145" s="568" t="str">
        <f>IFERROR(bhpc_data[[#This Row],[tot_order]]/bhpc_data[[#This Row],[units_per_carton]]/bhpc_data[[#This Row],[box_per_pallet]],"")</f>
        <v/>
      </c>
      <c r="AQ145" s="581" t="str">
        <f>IFERROR(ROUNDUP(bhpc_data[[#This Row],[pallet_euro]],0),"")</f>
        <v/>
      </c>
      <c r="AR145" s="581" t="str">
        <f>IFERROR(ROUNDUP(bhpc_data[[#This Row],[pallet]],0),"")</f>
        <v/>
      </c>
    </row>
    <row r="146" spans="1:44">
      <c r="A146" s="417" t="s">
        <v>1035</v>
      </c>
      <c r="B146" s="414" t="s">
        <v>1159</v>
      </c>
      <c r="C146" s="417">
        <v>1</v>
      </c>
      <c r="D146" s="417" t="s">
        <v>49</v>
      </c>
      <c r="E146" s="418" t="s">
        <v>1231</v>
      </c>
      <c r="F146" s="593"/>
      <c r="G146" s="417" t="s">
        <v>1073</v>
      </c>
      <c r="H146" s="416" t="s">
        <v>1160</v>
      </c>
      <c r="I146" s="563"/>
      <c r="J146" s="563"/>
      <c r="K146" s="563"/>
      <c r="L146" s="563"/>
      <c r="M146" s="563"/>
      <c r="N146" s="414"/>
      <c r="O146" s="414"/>
      <c r="P146" s="414"/>
      <c r="Q146" s="414"/>
      <c r="R146" s="414"/>
      <c r="S146" s="414"/>
      <c r="T146" s="414"/>
      <c r="U146" s="414"/>
      <c r="V146" s="414"/>
      <c r="W146" s="414"/>
      <c r="X146" s="414"/>
      <c r="Y146" s="414"/>
      <c r="Z146" s="416"/>
      <c r="AA146" s="348"/>
      <c r="AB146" s="348"/>
      <c r="AC146" s="348"/>
      <c r="AD146" s="348"/>
      <c r="AE146" s="348"/>
      <c r="AF146" s="348"/>
      <c r="AG146" s="348"/>
      <c r="AH146" s="348"/>
      <c r="AI146" s="349"/>
      <c r="AJ146" s="349"/>
      <c r="AK146" s="350"/>
      <c r="AL146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6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6" s="551" t="str">
        <f>IF(bhpc_data[[#This Row],[hs_code]]="","",IF(bhpc_data[[#This Row],[hs_code]]="33030090",bhpc_data[[#This Row],[tot_order]]/bhpc_data[[#This Row],[units_per_carton]]*bhpc_data[[#This Row],[net_weight]],0))</f>
        <v/>
      </c>
      <c r="AO146" s="568" t="str">
        <f>IFERROR(bhpc_data[[#This Row],[tot_order]]/bhpc_data[[#This Row],[units_per_carton]]/bhpc_data[[#This Row],[box_per_europallet]],"")</f>
        <v/>
      </c>
      <c r="AP146" s="568" t="str">
        <f>IFERROR(bhpc_data[[#This Row],[tot_order]]/bhpc_data[[#This Row],[units_per_carton]]/bhpc_data[[#This Row],[box_per_pallet]],"")</f>
        <v/>
      </c>
      <c r="AQ146" s="581" t="str">
        <f>IFERROR(ROUNDUP(bhpc_data[[#This Row],[pallet_euro]],0),"")</f>
        <v/>
      </c>
      <c r="AR146" s="581" t="str">
        <f>IFERROR(ROUNDUP(bhpc_data[[#This Row],[pallet]],0),"")</f>
        <v/>
      </c>
    </row>
    <row r="147" spans="1:44">
      <c r="A147" s="417" t="s">
        <v>1036</v>
      </c>
      <c r="B147" s="414" t="s">
        <v>1159</v>
      </c>
      <c r="C147" s="417">
        <v>1</v>
      </c>
      <c r="D147" s="417" t="s">
        <v>49</v>
      </c>
      <c r="E147" s="418" t="s">
        <v>1232</v>
      </c>
      <c r="F147" s="593"/>
      <c r="G147" s="417" t="s">
        <v>1074</v>
      </c>
      <c r="H147" s="416" t="s">
        <v>1160</v>
      </c>
      <c r="I147" s="563"/>
      <c r="J147" s="563"/>
      <c r="K147" s="563"/>
      <c r="L147" s="563"/>
      <c r="M147" s="563"/>
      <c r="N147" s="414"/>
      <c r="O147" s="414"/>
      <c r="P147" s="414"/>
      <c r="Q147" s="414"/>
      <c r="R147" s="414"/>
      <c r="S147" s="414"/>
      <c r="T147" s="414"/>
      <c r="U147" s="414"/>
      <c r="V147" s="414"/>
      <c r="W147" s="414"/>
      <c r="X147" s="414"/>
      <c r="Y147" s="414"/>
      <c r="Z147" s="416"/>
      <c r="AA147" s="351"/>
      <c r="AB147" s="351"/>
      <c r="AC147" s="351"/>
      <c r="AD147" s="351"/>
      <c r="AE147" s="351"/>
      <c r="AF147" s="351"/>
      <c r="AG147" s="351"/>
      <c r="AH147" s="351"/>
      <c r="AI147" s="352"/>
      <c r="AJ147" s="352"/>
      <c r="AK147" s="353"/>
      <c r="AL147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7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7" s="551" t="str">
        <f>IF(bhpc_data[[#This Row],[hs_code]]="","",IF(bhpc_data[[#This Row],[hs_code]]="33030090",bhpc_data[[#This Row],[tot_order]]/bhpc_data[[#This Row],[units_per_carton]]*bhpc_data[[#This Row],[net_weight]],0))</f>
        <v/>
      </c>
      <c r="AO147" s="568" t="str">
        <f>IFERROR(bhpc_data[[#This Row],[tot_order]]/bhpc_data[[#This Row],[units_per_carton]]/bhpc_data[[#This Row],[box_per_europallet]],"")</f>
        <v/>
      </c>
      <c r="AP147" s="568" t="str">
        <f>IFERROR(bhpc_data[[#This Row],[tot_order]]/bhpc_data[[#This Row],[units_per_carton]]/bhpc_data[[#This Row],[box_per_pallet]],"")</f>
        <v/>
      </c>
      <c r="AQ147" s="581" t="str">
        <f>IFERROR(ROUNDUP(bhpc_data[[#This Row],[pallet_euro]],0),"")</f>
        <v/>
      </c>
      <c r="AR147" s="581" t="str">
        <f>IFERROR(ROUNDUP(bhpc_data[[#This Row],[pallet]],0),"")</f>
        <v/>
      </c>
    </row>
    <row r="148" spans="1:44">
      <c r="A148" s="417" t="s">
        <v>1037</v>
      </c>
      <c r="B148" s="414" t="s">
        <v>1159</v>
      </c>
      <c r="C148" s="417">
        <v>1</v>
      </c>
      <c r="D148" s="417" t="s">
        <v>49</v>
      </c>
      <c r="E148" s="418" t="s">
        <v>1233</v>
      </c>
      <c r="F148" s="593"/>
      <c r="G148" s="417" t="s">
        <v>1075</v>
      </c>
      <c r="H148" s="416" t="s">
        <v>1160</v>
      </c>
      <c r="I148" s="563"/>
      <c r="J148" s="563"/>
      <c r="K148" s="563"/>
      <c r="L148" s="563"/>
      <c r="M148" s="563"/>
      <c r="N148" s="414"/>
      <c r="O148" s="414"/>
      <c r="P148" s="414"/>
      <c r="Q148" s="414"/>
      <c r="R148" s="414"/>
      <c r="S148" s="414"/>
      <c r="T148" s="414"/>
      <c r="U148" s="414"/>
      <c r="V148" s="414"/>
      <c r="W148" s="414"/>
      <c r="X148" s="414"/>
      <c r="Y148" s="414"/>
      <c r="Z148" s="416"/>
      <c r="AA148" s="348"/>
      <c r="AB148" s="348"/>
      <c r="AC148" s="348"/>
      <c r="AD148" s="348"/>
      <c r="AE148" s="348"/>
      <c r="AF148" s="348"/>
      <c r="AG148" s="348"/>
      <c r="AH148" s="348"/>
      <c r="AI148" s="349"/>
      <c r="AJ148" s="349"/>
      <c r="AK148" s="350"/>
      <c r="AL148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8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8" s="551" t="str">
        <f>IF(bhpc_data[[#This Row],[hs_code]]="","",IF(bhpc_data[[#This Row],[hs_code]]="33030090",bhpc_data[[#This Row],[tot_order]]/bhpc_data[[#This Row],[units_per_carton]]*bhpc_data[[#This Row],[net_weight]],0))</f>
        <v/>
      </c>
      <c r="AO148" s="568" t="str">
        <f>IFERROR(bhpc_data[[#This Row],[tot_order]]/bhpc_data[[#This Row],[units_per_carton]]/bhpc_data[[#This Row],[box_per_europallet]],"")</f>
        <v/>
      </c>
      <c r="AP148" s="568" t="str">
        <f>IFERROR(bhpc_data[[#This Row],[tot_order]]/bhpc_data[[#This Row],[units_per_carton]]/bhpc_data[[#This Row],[box_per_pallet]],"")</f>
        <v/>
      </c>
      <c r="AQ148" s="581" t="str">
        <f>IFERROR(ROUNDUP(bhpc_data[[#This Row],[pallet_euro]],0),"")</f>
        <v/>
      </c>
      <c r="AR148" s="581" t="str">
        <f>IFERROR(ROUNDUP(bhpc_data[[#This Row],[pallet]],0),"")</f>
        <v/>
      </c>
    </row>
    <row r="149" spans="1:44">
      <c r="A149" s="417" t="s">
        <v>1038</v>
      </c>
      <c r="B149" s="414" t="s">
        <v>1159</v>
      </c>
      <c r="C149" s="417">
        <v>1</v>
      </c>
      <c r="D149" s="417" t="s">
        <v>49</v>
      </c>
      <c r="E149" s="418" t="s">
        <v>1234</v>
      </c>
      <c r="F149" s="593"/>
      <c r="G149" s="417" t="s">
        <v>1076</v>
      </c>
      <c r="H149" s="416" t="s">
        <v>1160</v>
      </c>
      <c r="I149" s="563"/>
      <c r="J149" s="563"/>
      <c r="K149" s="563"/>
      <c r="L149" s="563"/>
      <c r="M149" s="563"/>
      <c r="N149" s="414"/>
      <c r="O149" s="414"/>
      <c r="P149" s="414"/>
      <c r="Q149" s="414"/>
      <c r="R149" s="414"/>
      <c r="S149" s="414"/>
      <c r="T149" s="414"/>
      <c r="U149" s="414"/>
      <c r="V149" s="414"/>
      <c r="W149" s="414"/>
      <c r="X149" s="414"/>
      <c r="Y149" s="414"/>
      <c r="Z149" s="416"/>
      <c r="AA149" s="351"/>
      <c r="AB149" s="351"/>
      <c r="AC149" s="351"/>
      <c r="AD149" s="351"/>
      <c r="AE149" s="351"/>
      <c r="AF149" s="351"/>
      <c r="AG149" s="351"/>
      <c r="AH149" s="351"/>
      <c r="AI149" s="352"/>
      <c r="AJ149" s="352"/>
      <c r="AK149" s="353"/>
      <c r="AL149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49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49" s="551" t="str">
        <f>IF(bhpc_data[[#This Row],[hs_code]]="","",IF(bhpc_data[[#This Row],[hs_code]]="33030090",bhpc_data[[#This Row],[tot_order]]/bhpc_data[[#This Row],[units_per_carton]]*bhpc_data[[#This Row],[net_weight]],0))</f>
        <v/>
      </c>
      <c r="AO149" s="568" t="str">
        <f>IFERROR(bhpc_data[[#This Row],[tot_order]]/bhpc_data[[#This Row],[units_per_carton]]/bhpc_data[[#This Row],[box_per_europallet]],"")</f>
        <v/>
      </c>
      <c r="AP149" s="568" t="str">
        <f>IFERROR(bhpc_data[[#This Row],[tot_order]]/bhpc_data[[#This Row],[units_per_carton]]/bhpc_data[[#This Row],[box_per_pallet]],"")</f>
        <v/>
      </c>
      <c r="AQ149" s="581" t="str">
        <f>IFERROR(ROUNDUP(bhpc_data[[#This Row],[pallet_euro]],0),"")</f>
        <v/>
      </c>
      <c r="AR149" s="581" t="str">
        <f>IFERROR(ROUNDUP(bhpc_data[[#This Row],[pallet]],0),"")</f>
        <v/>
      </c>
    </row>
    <row r="150" spans="1:44">
      <c r="A150" s="417" t="s">
        <v>1039</v>
      </c>
      <c r="B150" s="414" t="s">
        <v>1159</v>
      </c>
      <c r="C150" s="417">
        <v>1</v>
      </c>
      <c r="D150" s="417" t="s">
        <v>49</v>
      </c>
      <c r="E150" s="418" t="s">
        <v>1235</v>
      </c>
      <c r="F150" s="593"/>
      <c r="G150" s="417" t="s">
        <v>1077</v>
      </c>
      <c r="H150" s="416" t="s">
        <v>1160</v>
      </c>
      <c r="I150" s="563"/>
      <c r="J150" s="563"/>
      <c r="K150" s="563"/>
      <c r="L150" s="563"/>
      <c r="M150" s="563"/>
      <c r="N150" s="414"/>
      <c r="O150" s="414"/>
      <c r="P150" s="414"/>
      <c r="Q150" s="414"/>
      <c r="R150" s="414"/>
      <c r="S150" s="414"/>
      <c r="T150" s="414"/>
      <c r="U150" s="414"/>
      <c r="V150" s="414"/>
      <c r="W150" s="414"/>
      <c r="X150" s="414"/>
      <c r="Y150" s="414"/>
      <c r="Z150" s="416"/>
      <c r="AA150" s="348"/>
      <c r="AB150" s="348"/>
      <c r="AC150" s="348"/>
      <c r="AD150" s="348"/>
      <c r="AE150" s="348"/>
      <c r="AF150" s="348"/>
      <c r="AG150" s="348"/>
      <c r="AH150" s="348"/>
      <c r="AI150" s="349"/>
      <c r="AJ150" s="349"/>
      <c r="AK150" s="350"/>
      <c r="AL150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0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0" s="551" t="str">
        <f>IF(bhpc_data[[#This Row],[hs_code]]="","",IF(bhpc_data[[#This Row],[hs_code]]="33030090",bhpc_data[[#This Row],[tot_order]]/bhpc_data[[#This Row],[units_per_carton]]*bhpc_data[[#This Row],[net_weight]],0))</f>
        <v/>
      </c>
      <c r="AO150" s="568" t="str">
        <f>IFERROR(bhpc_data[[#This Row],[tot_order]]/bhpc_data[[#This Row],[units_per_carton]]/bhpc_data[[#This Row],[box_per_europallet]],"")</f>
        <v/>
      </c>
      <c r="AP150" s="568" t="str">
        <f>IFERROR(bhpc_data[[#This Row],[tot_order]]/bhpc_data[[#This Row],[units_per_carton]]/bhpc_data[[#This Row],[box_per_pallet]],"")</f>
        <v/>
      </c>
      <c r="AQ150" s="581" t="str">
        <f>IFERROR(ROUNDUP(bhpc_data[[#This Row],[pallet_euro]],0),"")</f>
        <v/>
      </c>
      <c r="AR150" s="581" t="str">
        <f>IFERROR(ROUNDUP(bhpc_data[[#This Row],[pallet]],0),"")</f>
        <v/>
      </c>
    </row>
    <row r="151" spans="1:44">
      <c r="A151" s="417" t="s">
        <v>1040</v>
      </c>
      <c r="B151" s="414" t="s">
        <v>1159</v>
      </c>
      <c r="C151" s="417">
        <v>1</v>
      </c>
      <c r="D151" s="417" t="s">
        <v>49</v>
      </c>
      <c r="E151" s="418" t="s">
        <v>1236</v>
      </c>
      <c r="F151" s="593"/>
      <c r="G151" s="417" t="s">
        <v>1078</v>
      </c>
      <c r="H151" s="416" t="s">
        <v>1160</v>
      </c>
      <c r="I151" s="563"/>
      <c r="J151" s="563"/>
      <c r="K151" s="563"/>
      <c r="L151" s="563"/>
      <c r="M151" s="563"/>
      <c r="N151" s="414"/>
      <c r="O151" s="414"/>
      <c r="P151" s="414"/>
      <c r="Q151" s="414"/>
      <c r="R151" s="414"/>
      <c r="S151" s="414"/>
      <c r="T151" s="414"/>
      <c r="U151" s="414"/>
      <c r="V151" s="414"/>
      <c r="W151" s="414"/>
      <c r="X151" s="414"/>
      <c r="Y151" s="414"/>
      <c r="Z151" s="416"/>
      <c r="AA151" s="351"/>
      <c r="AB151" s="351"/>
      <c r="AC151" s="351"/>
      <c r="AD151" s="351"/>
      <c r="AE151" s="351"/>
      <c r="AF151" s="351"/>
      <c r="AG151" s="351"/>
      <c r="AH151" s="351"/>
      <c r="AI151" s="352"/>
      <c r="AJ151" s="352"/>
      <c r="AK151" s="353"/>
      <c r="AL151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1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1" s="551" t="str">
        <f>IF(bhpc_data[[#This Row],[hs_code]]="","",IF(bhpc_data[[#This Row],[hs_code]]="33030090",bhpc_data[[#This Row],[tot_order]]/bhpc_data[[#This Row],[units_per_carton]]*bhpc_data[[#This Row],[net_weight]],0))</f>
        <v/>
      </c>
      <c r="AO151" s="568" t="str">
        <f>IFERROR(bhpc_data[[#This Row],[tot_order]]/bhpc_data[[#This Row],[units_per_carton]]/bhpc_data[[#This Row],[box_per_europallet]],"")</f>
        <v/>
      </c>
      <c r="AP151" s="568" t="str">
        <f>IFERROR(bhpc_data[[#This Row],[tot_order]]/bhpc_data[[#This Row],[units_per_carton]]/bhpc_data[[#This Row],[box_per_pallet]],"")</f>
        <v/>
      </c>
      <c r="AQ151" s="581" t="str">
        <f>IFERROR(ROUNDUP(bhpc_data[[#This Row],[pallet_euro]],0),"")</f>
        <v/>
      </c>
      <c r="AR151" s="581" t="str">
        <f>IFERROR(ROUNDUP(bhpc_data[[#This Row],[pallet]],0),"")</f>
        <v/>
      </c>
    </row>
    <row r="152" spans="1:44">
      <c r="A152" s="417" t="s">
        <v>1041</v>
      </c>
      <c r="B152" s="414" t="s">
        <v>1159</v>
      </c>
      <c r="C152" s="417">
        <v>1</v>
      </c>
      <c r="D152" s="417" t="s">
        <v>49</v>
      </c>
      <c r="E152" s="418" t="s">
        <v>1237</v>
      </c>
      <c r="F152" s="593"/>
      <c r="G152" s="417" t="s">
        <v>1079</v>
      </c>
      <c r="H152" s="416" t="s">
        <v>1160</v>
      </c>
      <c r="I152" s="563"/>
      <c r="J152" s="563"/>
      <c r="K152" s="563"/>
      <c r="L152" s="563"/>
      <c r="M152" s="563"/>
      <c r="N152" s="414"/>
      <c r="O152" s="414"/>
      <c r="P152" s="414"/>
      <c r="Q152" s="414"/>
      <c r="R152" s="414"/>
      <c r="S152" s="414"/>
      <c r="T152" s="414"/>
      <c r="U152" s="414"/>
      <c r="V152" s="414"/>
      <c r="W152" s="414"/>
      <c r="X152" s="414"/>
      <c r="Y152" s="414"/>
      <c r="Z152" s="416"/>
      <c r="AA152" s="348"/>
      <c r="AB152" s="348"/>
      <c r="AC152" s="348"/>
      <c r="AD152" s="348"/>
      <c r="AE152" s="348"/>
      <c r="AF152" s="348"/>
      <c r="AG152" s="348"/>
      <c r="AH152" s="348"/>
      <c r="AI152" s="349"/>
      <c r="AJ152" s="349"/>
      <c r="AK152" s="350"/>
      <c r="AL152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2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2" s="551" t="str">
        <f>IF(bhpc_data[[#This Row],[hs_code]]="","",IF(bhpc_data[[#This Row],[hs_code]]="33030090",bhpc_data[[#This Row],[tot_order]]/bhpc_data[[#This Row],[units_per_carton]]*bhpc_data[[#This Row],[net_weight]],0))</f>
        <v/>
      </c>
      <c r="AO152" s="568" t="str">
        <f>IFERROR(bhpc_data[[#This Row],[tot_order]]/bhpc_data[[#This Row],[units_per_carton]]/bhpc_data[[#This Row],[box_per_europallet]],"")</f>
        <v/>
      </c>
      <c r="AP152" s="568" t="str">
        <f>IFERROR(bhpc_data[[#This Row],[tot_order]]/bhpc_data[[#This Row],[units_per_carton]]/bhpc_data[[#This Row],[box_per_pallet]],"")</f>
        <v/>
      </c>
      <c r="AQ152" s="581" t="str">
        <f>IFERROR(ROUNDUP(bhpc_data[[#This Row],[pallet_euro]],0),"")</f>
        <v/>
      </c>
      <c r="AR152" s="581" t="str">
        <f>IFERROR(ROUNDUP(bhpc_data[[#This Row],[pallet]],0),"")</f>
        <v/>
      </c>
    </row>
    <row r="153" spans="1:44">
      <c r="A153" s="417" t="s">
        <v>1042</v>
      </c>
      <c r="B153" s="414" t="s">
        <v>1159</v>
      </c>
      <c r="C153" s="417">
        <v>1</v>
      </c>
      <c r="D153" s="417" t="s">
        <v>49</v>
      </c>
      <c r="E153" s="418" t="s">
        <v>1238</v>
      </c>
      <c r="F153" s="593"/>
      <c r="G153" s="417" t="s">
        <v>1080</v>
      </c>
      <c r="H153" s="416" t="s">
        <v>1160</v>
      </c>
      <c r="I153" s="563"/>
      <c r="J153" s="563"/>
      <c r="K153" s="563"/>
      <c r="L153" s="563"/>
      <c r="M153" s="563"/>
      <c r="N153" s="414"/>
      <c r="O153" s="414"/>
      <c r="P153" s="414"/>
      <c r="Q153" s="414"/>
      <c r="R153" s="414"/>
      <c r="S153" s="414"/>
      <c r="T153" s="414"/>
      <c r="U153" s="414"/>
      <c r="V153" s="414"/>
      <c r="W153" s="414"/>
      <c r="X153" s="414"/>
      <c r="Y153" s="414"/>
      <c r="Z153" s="416"/>
      <c r="AA153" s="351"/>
      <c r="AB153" s="351"/>
      <c r="AC153" s="351"/>
      <c r="AD153" s="351"/>
      <c r="AE153" s="351"/>
      <c r="AF153" s="351"/>
      <c r="AG153" s="351"/>
      <c r="AH153" s="351"/>
      <c r="AI153" s="352"/>
      <c r="AJ153" s="352"/>
      <c r="AK153" s="353"/>
      <c r="AL153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3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3" s="551" t="str">
        <f>IF(bhpc_data[[#This Row],[hs_code]]="","",IF(bhpc_data[[#This Row],[hs_code]]="33030090",bhpc_data[[#This Row],[tot_order]]/bhpc_data[[#This Row],[units_per_carton]]*bhpc_data[[#This Row],[net_weight]],0))</f>
        <v/>
      </c>
      <c r="AO153" s="568" t="str">
        <f>IFERROR(bhpc_data[[#This Row],[tot_order]]/bhpc_data[[#This Row],[units_per_carton]]/bhpc_data[[#This Row],[box_per_europallet]],"")</f>
        <v/>
      </c>
      <c r="AP153" s="568" t="str">
        <f>IFERROR(bhpc_data[[#This Row],[tot_order]]/bhpc_data[[#This Row],[units_per_carton]]/bhpc_data[[#This Row],[box_per_pallet]],"")</f>
        <v/>
      </c>
      <c r="AQ153" s="581" t="str">
        <f>IFERROR(ROUNDUP(bhpc_data[[#This Row],[pallet_euro]],0),"")</f>
        <v/>
      </c>
      <c r="AR153" s="581" t="str">
        <f>IFERROR(ROUNDUP(bhpc_data[[#This Row],[pallet]],0),"")</f>
        <v/>
      </c>
    </row>
    <row r="154" spans="1:44">
      <c r="A154" s="417" t="s">
        <v>1043</v>
      </c>
      <c r="B154" s="414" t="s">
        <v>1159</v>
      </c>
      <c r="C154" s="417">
        <v>1</v>
      </c>
      <c r="D154" s="417" t="s">
        <v>49</v>
      </c>
      <c r="E154" s="418" t="s">
        <v>1239</v>
      </c>
      <c r="F154" s="593"/>
      <c r="G154" s="417" t="s">
        <v>1081</v>
      </c>
      <c r="H154" s="416" t="s">
        <v>1160</v>
      </c>
      <c r="I154" s="563"/>
      <c r="J154" s="563"/>
      <c r="K154" s="563"/>
      <c r="L154" s="563"/>
      <c r="M154" s="563"/>
      <c r="N154" s="414"/>
      <c r="O154" s="414"/>
      <c r="P154" s="414"/>
      <c r="Q154" s="414"/>
      <c r="R154" s="414"/>
      <c r="S154" s="414"/>
      <c r="T154" s="414"/>
      <c r="U154" s="414"/>
      <c r="V154" s="414"/>
      <c r="W154" s="414"/>
      <c r="X154" s="414"/>
      <c r="Y154" s="414"/>
      <c r="Z154" s="416"/>
      <c r="AA154" s="348"/>
      <c r="AB154" s="348"/>
      <c r="AC154" s="348"/>
      <c r="AD154" s="348"/>
      <c r="AE154" s="348"/>
      <c r="AF154" s="348"/>
      <c r="AG154" s="348"/>
      <c r="AH154" s="348"/>
      <c r="AI154" s="349"/>
      <c r="AJ154" s="349"/>
      <c r="AK154" s="350"/>
      <c r="AL154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4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4" s="551" t="str">
        <f>IF(bhpc_data[[#This Row],[hs_code]]="","",IF(bhpc_data[[#This Row],[hs_code]]="33030090",bhpc_data[[#This Row],[tot_order]]/bhpc_data[[#This Row],[units_per_carton]]*bhpc_data[[#This Row],[net_weight]],0))</f>
        <v/>
      </c>
      <c r="AO154" s="568" t="str">
        <f>IFERROR(bhpc_data[[#This Row],[tot_order]]/bhpc_data[[#This Row],[units_per_carton]]/bhpc_data[[#This Row],[box_per_europallet]],"")</f>
        <v/>
      </c>
      <c r="AP154" s="568" t="str">
        <f>IFERROR(bhpc_data[[#This Row],[tot_order]]/bhpc_data[[#This Row],[units_per_carton]]/bhpc_data[[#This Row],[box_per_pallet]],"")</f>
        <v/>
      </c>
      <c r="AQ154" s="581" t="str">
        <f>IFERROR(ROUNDUP(bhpc_data[[#This Row],[pallet_euro]],0),"")</f>
        <v/>
      </c>
      <c r="AR154" s="581" t="str">
        <f>IFERROR(ROUNDUP(bhpc_data[[#This Row],[pallet]],0),"")</f>
        <v/>
      </c>
    </row>
    <row r="155" spans="1:44">
      <c r="A155" s="417" t="s">
        <v>1044</v>
      </c>
      <c r="B155" s="414" t="s">
        <v>1159</v>
      </c>
      <c r="C155" s="417">
        <v>1</v>
      </c>
      <c r="D155" s="417" t="s">
        <v>49</v>
      </c>
      <c r="E155" s="418" t="s">
        <v>1240</v>
      </c>
      <c r="F155" s="593"/>
      <c r="G155" s="417" t="s">
        <v>1082</v>
      </c>
      <c r="H155" s="416" t="s">
        <v>1160</v>
      </c>
      <c r="I155" s="563"/>
      <c r="J155" s="563"/>
      <c r="K155" s="563"/>
      <c r="L155" s="563"/>
      <c r="M155" s="563"/>
      <c r="N155" s="414"/>
      <c r="O155" s="414"/>
      <c r="P155" s="414"/>
      <c r="Q155" s="414"/>
      <c r="R155" s="414"/>
      <c r="S155" s="414"/>
      <c r="T155" s="414"/>
      <c r="U155" s="414"/>
      <c r="V155" s="414"/>
      <c r="W155" s="414"/>
      <c r="X155" s="414"/>
      <c r="Y155" s="414"/>
      <c r="Z155" s="416"/>
      <c r="AA155" s="351"/>
      <c r="AB155" s="351"/>
      <c r="AC155" s="351"/>
      <c r="AD155" s="351"/>
      <c r="AE155" s="351"/>
      <c r="AF155" s="351"/>
      <c r="AG155" s="351"/>
      <c r="AH155" s="351"/>
      <c r="AI155" s="352"/>
      <c r="AJ155" s="352"/>
      <c r="AK155" s="353"/>
      <c r="AL155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5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5" s="551" t="str">
        <f>IF(bhpc_data[[#This Row],[hs_code]]="","",IF(bhpc_data[[#This Row],[hs_code]]="33030090",bhpc_data[[#This Row],[tot_order]]/bhpc_data[[#This Row],[units_per_carton]]*bhpc_data[[#This Row],[net_weight]],0))</f>
        <v/>
      </c>
      <c r="AO155" s="568" t="str">
        <f>IFERROR(bhpc_data[[#This Row],[tot_order]]/bhpc_data[[#This Row],[units_per_carton]]/bhpc_data[[#This Row],[box_per_europallet]],"")</f>
        <v/>
      </c>
      <c r="AP155" s="568" t="str">
        <f>IFERROR(bhpc_data[[#This Row],[tot_order]]/bhpc_data[[#This Row],[units_per_carton]]/bhpc_data[[#This Row],[box_per_pallet]],"")</f>
        <v/>
      </c>
      <c r="AQ155" s="581" t="str">
        <f>IFERROR(ROUNDUP(bhpc_data[[#This Row],[pallet_euro]],0),"")</f>
        <v/>
      </c>
      <c r="AR155" s="581" t="str">
        <f>IFERROR(ROUNDUP(bhpc_data[[#This Row],[pallet]],0),"")</f>
        <v/>
      </c>
    </row>
    <row r="156" spans="1:44">
      <c r="A156" s="417" t="s">
        <v>1045</v>
      </c>
      <c r="B156" s="414" t="s">
        <v>1159</v>
      </c>
      <c r="C156" s="417">
        <v>1</v>
      </c>
      <c r="D156" s="417" t="s">
        <v>49</v>
      </c>
      <c r="E156" s="418" t="s">
        <v>1241</v>
      </c>
      <c r="F156" s="593"/>
      <c r="G156" s="417" t="s">
        <v>1083</v>
      </c>
      <c r="H156" s="416" t="s">
        <v>1160</v>
      </c>
      <c r="I156" s="563"/>
      <c r="J156" s="563"/>
      <c r="K156" s="563"/>
      <c r="L156" s="563"/>
      <c r="M156" s="563"/>
      <c r="N156" s="414"/>
      <c r="O156" s="414"/>
      <c r="P156" s="414"/>
      <c r="Q156" s="414"/>
      <c r="R156" s="414"/>
      <c r="S156" s="414"/>
      <c r="T156" s="414"/>
      <c r="U156" s="414"/>
      <c r="V156" s="414"/>
      <c r="W156" s="414"/>
      <c r="X156" s="414"/>
      <c r="Y156" s="414"/>
      <c r="Z156" s="416"/>
      <c r="AA156" s="348"/>
      <c r="AB156" s="348"/>
      <c r="AC156" s="348"/>
      <c r="AD156" s="348"/>
      <c r="AE156" s="348"/>
      <c r="AF156" s="348"/>
      <c r="AG156" s="348"/>
      <c r="AH156" s="348"/>
      <c r="AI156" s="349"/>
      <c r="AJ156" s="349"/>
      <c r="AK156" s="350"/>
      <c r="AL156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6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6" s="551" t="str">
        <f>IF(bhpc_data[[#This Row],[hs_code]]="","",IF(bhpc_data[[#This Row],[hs_code]]="33030090",bhpc_data[[#This Row],[tot_order]]/bhpc_data[[#This Row],[units_per_carton]]*bhpc_data[[#This Row],[net_weight]],0))</f>
        <v/>
      </c>
      <c r="AO156" s="568" t="str">
        <f>IFERROR(bhpc_data[[#This Row],[tot_order]]/bhpc_data[[#This Row],[units_per_carton]]/bhpc_data[[#This Row],[box_per_europallet]],"")</f>
        <v/>
      </c>
      <c r="AP156" s="568" t="str">
        <f>IFERROR(bhpc_data[[#This Row],[tot_order]]/bhpc_data[[#This Row],[units_per_carton]]/bhpc_data[[#This Row],[box_per_pallet]],"")</f>
        <v/>
      </c>
      <c r="AQ156" s="581" t="str">
        <f>IFERROR(ROUNDUP(bhpc_data[[#This Row],[pallet_euro]],0),"")</f>
        <v/>
      </c>
      <c r="AR156" s="581" t="str">
        <f>IFERROR(ROUNDUP(bhpc_data[[#This Row],[pallet]],0),"")</f>
        <v/>
      </c>
    </row>
    <row r="157" spans="1:44">
      <c r="A157" s="417" t="s">
        <v>1046</v>
      </c>
      <c r="B157" s="414" t="s">
        <v>1159</v>
      </c>
      <c r="C157" s="417">
        <v>1</v>
      </c>
      <c r="D157" s="417" t="s">
        <v>49</v>
      </c>
      <c r="E157" s="418" t="s">
        <v>1242</v>
      </c>
      <c r="F157" s="593"/>
      <c r="G157" s="417" t="s">
        <v>1084</v>
      </c>
      <c r="H157" s="416" t="s">
        <v>1160</v>
      </c>
      <c r="I157" s="563"/>
      <c r="J157" s="563"/>
      <c r="K157" s="563"/>
      <c r="L157" s="563"/>
      <c r="M157" s="563"/>
      <c r="N157" s="414"/>
      <c r="O157" s="414"/>
      <c r="P157" s="414"/>
      <c r="Q157" s="414"/>
      <c r="R157" s="414"/>
      <c r="S157" s="414"/>
      <c r="T157" s="414"/>
      <c r="U157" s="414"/>
      <c r="V157" s="414"/>
      <c r="W157" s="414"/>
      <c r="X157" s="414"/>
      <c r="Y157" s="414"/>
      <c r="Z157" s="416"/>
      <c r="AA157" s="351"/>
      <c r="AB157" s="351"/>
      <c r="AC157" s="351"/>
      <c r="AD157" s="351"/>
      <c r="AE157" s="351"/>
      <c r="AF157" s="351"/>
      <c r="AG157" s="351"/>
      <c r="AH157" s="351"/>
      <c r="AI157" s="352"/>
      <c r="AJ157" s="352"/>
      <c r="AK157" s="353"/>
      <c r="AL157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7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7" s="551" t="str">
        <f>IF(bhpc_data[[#This Row],[hs_code]]="","",IF(bhpc_data[[#This Row],[hs_code]]="33030090",bhpc_data[[#This Row],[tot_order]]/bhpc_data[[#This Row],[units_per_carton]]*bhpc_data[[#This Row],[net_weight]],0))</f>
        <v/>
      </c>
      <c r="AO157" s="568" t="str">
        <f>IFERROR(bhpc_data[[#This Row],[tot_order]]/bhpc_data[[#This Row],[units_per_carton]]/bhpc_data[[#This Row],[box_per_europallet]],"")</f>
        <v/>
      </c>
      <c r="AP157" s="568" t="str">
        <f>IFERROR(bhpc_data[[#This Row],[tot_order]]/bhpc_data[[#This Row],[units_per_carton]]/bhpc_data[[#This Row],[box_per_pallet]],"")</f>
        <v/>
      </c>
      <c r="AQ157" s="581" t="str">
        <f>IFERROR(ROUNDUP(bhpc_data[[#This Row],[pallet_euro]],0),"")</f>
        <v/>
      </c>
      <c r="AR157" s="581" t="str">
        <f>IFERROR(ROUNDUP(bhpc_data[[#This Row],[pallet]],0),"")</f>
        <v/>
      </c>
    </row>
    <row r="158" spans="1:44">
      <c r="A158" s="417" t="s">
        <v>1047</v>
      </c>
      <c r="B158" s="414" t="s">
        <v>1159</v>
      </c>
      <c r="C158" s="417">
        <v>1</v>
      </c>
      <c r="D158" s="417" t="s">
        <v>49</v>
      </c>
      <c r="E158" s="418" t="s">
        <v>1243</v>
      </c>
      <c r="F158" s="593"/>
      <c r="G158" s="417" t="s">
        <v>1085</v>
      </c>
      <c r="H158" s="416" t="s">
        <v>1160</v>
      </c>
      <c r="I158" s="563"/>
      <c r="J158" s="563"/>
      <c r="K158" s="563"/>
      <c r="L158" s="563"/>
      <c r="M158" s="563"/>
      <c r="N158" s="414"/>
      <c r="O158" s="414"/>
      <c r="P158" s="414"/>
      <c r="Q158" s="414"/>
      <c r="R158" s="414"/>
      <c r="S158" s="414"/>
      <c r="T158" s="414"/>
      <c r="U158" s="414"/>
      <c r="V158" s="414"/>
      <c r="W158" s="414"/>
      <c r="X158" s="414"/>
      <c r="Y158" s="414"/>
      <c r="Z158" s="416"/>
      <c r="AA158" s="348"/>
      <c r="AB158" s="348"/>
      <c r="AC158" s="348"/>
      <c r="AD158" s="348"/>
      <c r="AE158" s="348"/>
      <c r="AF158" s="348"/>
      <c r="AG158" s="348"/>
      <c r="AH158" s="348"/>
      <c r="AI158" s="349"/>
      <c r="AJ158" s="349"/>
      <c r="AK158" s="350"/>
      <c r="AL158" s="551" t="str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/>
      </c>
      <c r="AM158" s="551" t="str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/>
      </c>
      <c r="AN158" s="551" t="str">
        <f>IF(bhpc_data[[#This Row],[hs_code]]="","",IF(bhpc_data[[#This Row],[hs_code]]="33030090",bhpc_data[[#This Row],[tot_order]]/bhpc_data[[#This Row],[units_per_carton]]*bhpc_data[[#This Row],[net_weight]],0))</f>
        <v/>
      </c>
      <c r="AO158" s="568" t="str">
        <f>IFERROR(bhpc_data[[#This Row],[tot_order]]/bhpc_data[[#This Row],[units_per_carton]]/bhpc_data[[#This Row],[box_per_europallet]],"")</f>
        <v/>
      </c>
      <c r="AP158" s="568" t="str">
        <f>IFERROR(bhpc_data[[#This Row],[tot_order]]/bhpc_data[[#This Row],[units_per_carton]]/bhpc_data[[#This Row],[box_per_pallet]],"")</f>
        <v/>
      </c>
      <c r="AQ158" s="581" t="str">
        <f>IFERROR(ROUNDUP(bhpc_data[[#This Row],[pallet_euro]],0),"")</f>
        <v/>
      </c>
      <c r="AR158" s="581" t="str">
        <f>IFERROR(ROUNDUP(bhpc_data[[#This Row],[pallet]],0),"")</f>
        <v/>
      </c>
    </row>
    <row r="159" spans="1:44">
      <c r="A159" s="417" t="s">
        <v>1048</v>
      </c>
      <c r="B159" s="414" t="s">
        <v>1159</v>
      </c>
      <c r="C159" s="417">
        <v>1</v>
      </c>
      <c r="D159" s="417" t="s">
        <v>38</v>
      </c>
      <c r="E159" s="418"/>
      <c r="F159" s="593"/>
      <c r="G159" s="417" t="s">
        <v>1086</v>
      </c>
      <c r="H159" s="416" t="s">
        <v>1160</v>
      </c>
      <c r="I159" s="563">
        <v>100</v>
      </c>
      <c r="J159" s="563">
        <v>6</v>
      </c>
      <c r="K159" s="563">
        <v>2</v>
      </c>
      <c r="L159" s="563">
        <v>3</v>
      </c>
      <c r="M159" s="563"/>
      <c r="N159" s="414"/>
      <c r="O159" s="414"/>
      <c r="P159" s="414"/>
      <c r="Q159" s="414"/>
      <c r="R159" s="414"/>
      <c r="S159" s="414"/>
      <c r="T159" s="414"/>
      <c r="U159" s="414"/>
      <c r="V159" s="414"/>
      <c r="W159" s="414"/>
      <c r="X159" s="414"/>
      <c r="Y159" s="414"/>
      <c r="Z159" s="416"/>
      <c r="AA159" s="351"/>
      <c r="AB159" s="351"/>
      <c r="AC159" s="351"/>
      <c r="AD159" s="351"/>
      <c r="AE159" s="351"/>
      <c r="AF159" s="351"/>
      <c r="AG159" s="351"/>
      <c r="AH159" s="351"/>
      <c r="AI159" s="352"/>
      <c r="AJ159" s="352"/>
      <c r="AK159" s="353"/>
      <c r="AL159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59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59" s="551" t="str">
        <f>IF(bhpc_data[[#This Row],[hs_code]]="","",IF(bhpc_data[[#This Row],[hs_code]]="33030090",bhpc_data[[#This Row],[tot_order]]/bhpc_data[[#This Row],[units_per_carton]]*bhpc_data[[#This Row],[net_weight]],0))</f>
        <v/>
      </c>
      <c r="AO159" s="568">
        <f>IFERROR(bhpc_data[[#This Row],[tot_order]]/bhpc_data[[#This Row],[units_per_carton]]/bhpc_data[[#This Row],[box_per_europallet]],"")</f>
        <v>0</v>
      </c>
      <c r="AP159" s="568" t="str">
        <f>IFERROR(bhpc_data[[#This Row],[tot_order]]/bhpc_data[[#This Row],[units_per_carton]]/bhpc_data[[#This Row],[box_per_pallet]],"")</f>
        <v/>
      </c>
      <c r="AQ159" s="581">
        <f>IFERROR(ROUNDUP(bhpc_data[[#This Row],[pallet_euro]],0),"")</f>
        <v>0</v>
      </c>
      <c r="AR159" s="581" t="str">
        <f>IFERROR(ROUNDUP(bhpc_data[[#This Row],[pallet]],0),"")</f>
        <v/>
      </c>
    </row>
    <row r="160" spans="1:44">
      <c r="A160" s="417" t="s">
        <v>1049</v>
      </c>
      <c r="B160" s="414" t="s">
        <v>1159</v>
      </c>
      <c r="C160" s="417">
        <v>1</v>
      </c>
      <c r="D160" s="417" t="s">
        <v>49</v>
      </c>
      <c r="E160" s="418"/>
      <c r="F160" s="593"/>
      <c r="G160" s="417" t="s">
        <v>1087</v>
      </c>
      <c r="H160" s="416" t="s">
        <v>1160</v>
      </c>
      <c r="I160" s="564">
        <v>100</v>
      </c>
      <c r="J160" s="564">
        <v>6</v>
      </c>
      <c r="K160" s="564">
        <v>2</v>
      </c>
      <c r="L160" s="564">
        <v>3</v>
      </c>
      <c r="M160" s="564"/>
      <c r="N160" s="417"/>
      <c r="O160" s="417"/>
      <c r="P160" s="417"/>
      <c r="Q160" s="417"/>
      <c r="R160" s="417"/>
      <c r="S160" s="417"/>
      <c r="T160" s="417"/>
      <c r="U160" s="417"/>
      <c r="V160" s="417"/>
      <c r="W160" s="417"/>
      <c r="X160" s="417"/>
      <c r="Y160" s="417"/>
      <c r="Z160" s="419"/>
      <c r="AA160" s="348"/>
      <c r="AB160" s="348"/>
      <c r="AC160" s="348"/>
      <c r="AD160" s="348"/>
      <c r="AE160" s="348"/>
      <c r="AF160" s="348"/>
      <c r="AG160" s="348"/>
      <c r="AH160" s="348"/>
      <c r="AI160" s="349"/>
      <c r="AJ160" s="349"/>
      <c r="AK160" s="350"/>
      <c r="AL160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60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60" s="551" t="str">
        <f>IF(bhpc_data[[#This Row],[hs_code]]="","",IF(bhpc_data[[#This Row],[hs_code]]="33030090",bhpc_data[[#This Row],[tot_order]]/bhpc_data[[#This Row],[units_per_carton]]*bhpc_data[[#This Row],[net_weight]],0))</f>
        <v/>
      </c>
      <c r="AO160" s="568">
        <f>IFERROR(bhpc_data[[#This Row],[tot_order]]/bhpc_data[[#This Row],[units_per_carton]]/bhpc_data[[#This Row],[box_per_europallet]],"")</f>
        <v>0</v>
      </c>
      <c r="AP160" s="568" t="str">
        <f>IFERROR(bhpc_data[[#This Row],[tot_order]]/bhpc_data[[#This Row],[units_per_carton]]/bhpc_data[[#This Row],[box_per_pallet]],"")</f>
        <v/>
      </c>
      <c r="AQ160" s="581">
        <f>IFERROR(ROUNDUP(bhpc_data[[#This Row],[pallet_euro]],0),"")</f>
        <v>0</v>
      </c>
      <c r="AR160" s="581" t="str">
        <f>IFERROR(ROUNDUP(bhpc_data[[#This Row],[pallet]],0),"")</f>
        <v/>
      </c>
    </row>
    <row r="161" spans="2:44">
      <c r="B161" s="77" t="s">
        <v>37</v>
      </c>
      <c r="C161" s="77">
        <v>2</v>
      </c>
      <c r="D161" s="77" t="s">
        <v>49</v>
      </c>
      <c r="E161" s="79"/>
      <c r="G161" s="77" t="s">
        <v>110</v>
      </c>
      <c r="H161" s="78" t="s">
        <v>40</v>
      </c>
      <c r="I161" s="559">
        <v>20</v>
      </c>
      <c r="J161" s="559">
        <v>18</v>
      </c>
      <c r="K161" s="559">
        <v>6</v>
      </c>
      <c r="L161" s="559">
        <v>3</v>
      </c>
      <c r="N161" s="77">
        <v>400</v>
      </c>
      <c r="O161" s="77">
        <v>400</v>
      </c>
      <c r="P161" s="77">
        <v>460</v>
      </c>
      <c r="Q161" s="77">
        <f>0.73*I161</f>
        <v>14.6</v>
      </c>
      <c r="R161" s="77">
        <v>20.5</v>
      </c>
      <c r="S161" s="77">
        <v>100</v>
      </c>
      <c r="T161" s="77">
        <v>250</v>
      </c>
      <c r="U161" s="77">
        <v>0</v>
      </c>
      <c r="V161" s="77">
        <v>0.6</v>
      </c>
      <c r="W161" s="77">
        <v>0.4</v>
      </c>
      <c r="X161" s="77">
        <v>0</v>
      </c>
      <c r="Y161" s="77">
        <v>0</v>
      </c>
      <c r="Z161" s="78" t="s">
        <v>41</v>
      </c>
      <c r="AA161" s="351">
        <f>ROUNDUP(bhpc_data!$AI35/bhpc_data[[#This Row],[units_per_carton]],0)</f>
        <v>0</v>
      </c>
      <c r="AB161" s="351">
        <f>bhpc_data!$AJ35/bhpc_data[[#This Row],[units_per_carton]]</f>
        <v>0</v>
      </c>
      <c r="AC161" s="351">
        <f>(bhpc_data[[#This Row],[net_weight]]/bhpc_data[[#This Row],[units_per_carton]])*bhpc_data!$AK35*bhpc_data[[#This Row],[product1_weight]]</f>
        <v>0</v>
      </c>
      <c r="AD161" s="351">
        <f>(bhpc_data[[#This Row],[net_weight]]/bhpc_data[[#This Row],[units_per_carton]])*bhpc_data!$AK35*bhpc_data[[#This Row],[product2_weight]]</f>
        <v>0</v>
      </c>
      <c r="AE161" s="351">
        <f>(bhpc_data[[#This Row],[gross_weight]]/bhpc_data[[#This Row],[units_per_carton]])*bhpc_data!$AK35*bhpc_data[[#This Row],[product1_weight]]</f>
        <v>0</v>
      </c>
      <c r="AF161" s="351">
        <f>(bhpc_data[[#This Row],[gross_weight]]/bhpc_data[[#This Row],[units_per_carton]])*bhpc_data!$AK35*bhpc_data[[#This Row],[product2_weight]]</f>
        <v>0</v>
      </c>
      <c r="AG161" s="351">
        <f>(bhpc_data[[#This Row],[lenght]]*bhpc_data[[#This Row],[width]]*bhpc_data[[#This Row],[height]])/1000000000*bhpc_data!$AK35/bhpc_data[[#This Row],[units_per_carton]]*bhpc_data[[#This Row],[product1_weight]]</f>
        <v>0</v>
      </c>
      <c r="AH161" s="351">
        <f>(bhpc_data[[#This Row],[lenght]]*bhpc_data[[#This Row],[width]]*bhpc_data[[#This Row],[height]])/1000000000*bhpc_data!$AK35/bhpc_data[[#This Row],[units_per_carton]]*bhpc_data[[#This Row],[product2_weight]]</f>
        <v>0</v>
      </c>
      <c r="AI161" s="352">
        <f>SUMIF(productsSku,bhpc_data[[#This Row],[sku]],productsQty)+SUMIF(productsSku,bhpc_data[[#This Row],[sku]],productsDiscQty)</f>
        <v>0</v>
      </c>
      <c r="AJ161" s="352">
        <f>SUMIF(productsSku,bhpc_data[[#This Row],[sku]],productsFocQty)</f>
        <v>0</v>
      </c>
      <c r="AK161" s="353">
        <f>bhpc_data!$AI35+bhpc_data!$AJ35</f>
        <v>0</v>
      </c>
      <c r="AL161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61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61" s="551" t="str">
        <f>IF(bhpc_data[[#This Row],[hs_code]]="","",IF(bhpc_data[[#This Row],[hs_code]]="33030090",bhpc_data[[#This Row],[tot_order]]/bhpc_data[[#This Row],[units_per_carton]]*bhpc_data[[#This Row],[net_weight]],0))</f>
        <v/>
      </c>
      <c r="AO161" s="568">
        <f>IFERROR(bhpc_data[[#This Row],[tot_order]]/bhpc_data[[#This Row],[units_per_carton]]/bhpc_data[[#This Row],[box_per_europallet]],"")</f>
        <v>0</v>
      </c>
      <c r="AP161" s="568" t="str">
        <f>IFERROR(bhpc_data[[#This Row],[tot_order]]/bhpc_data[[#This Row],[units_per_carton]]/bhpc_data[[#This Row],[box_per_pallet]],"")</f>
        <v/>
      </c>
      <c r="AQ161" s="581">
        <f>IFERROR(ROUNDUP(bhpc_data[[#This Row],[pallet_euro]],0),"")</f>
        <v>0</v>
      </c>
      <c r="AR161" s="581" t="str">
        <f>IFERROR(ROUNDUP(bhpc_data[[#This Row],[pallet]],0),"")</f>
        <v/>
      </c>
    </row>
    <row r="162" spans="2:44">
      <c r="B162" s="77" t="s">
        <v>170</v>
      </c>
      <c r="C162" s="77">
        <v>1</v>
      </c>
      <c r="D162" s="77" t="s">
        <v>49</v>
      </c>
      <c r="E162" s="80"/>
      <c r="G162" s="77" t="s">
        <v>199</v>
      </c>
      <c r="H162" s="78" t="s">
        <v>173</v>
      </c>
      <c r="I162" s="559">
        <v>24</v>
      </c>
      <c r="S162" s="77">
        <v>250</v>
      </c>
      <c r="T162" s="77">
        <v>0</v>
      </c>
      <c r="U162" s="77">
        <v>0</v>
      </c>
      <c r="V162" s="77">
        <v>1</v>
      </c>
      <c r="W162" s="77">
        <v>0</v>
      </c>
      <c r="X162" s="77">
        <v>0</v>
      </c>
      <c r="Y162" s="77">
        <v>0</v>
      </c>
      <c r="Z162" s="78" t="s">
        <v>41</v>
      </c>
      <c r="AA162" s="348">
        <f>ROUNDUP(bhpc_data!$AI84/bhpc_data[[#This Row],[units_per_carton]],0)</f>
        <v>0</v>
      </c>
      <c r="AB162" s="348">
        <f>bhpc_data!$AJ84/bhpc_data[[#This Row],[units_per_carton]]</f>
        <v>0</v>
      </c>
      <c r="AC162" s="348">
        <f>(bhpc_data[[#This Row],[net_weight]]/bhpc_data[[#This Row],[units_per_carton]])*bhpc_data!$AK84*bhpc_data[[#This Row],[product1_weight]]</f>
        <v>0</v>
      </c>
      <c r="AD162" s="348">
        <f>(bhpc_data[[#This Row],[net_weight]]/bhpc_data[[#This Row],[units_per_carton]])*bhpc_data!$AK84*bhpc_data[[#This Row],[product2_weight]]</f>
        <v>0</v>
      </c>
      <c r="AE162" s="348">
        <f>(bhpc_data[[#This Row],[gross_weight]]/bhpc_data[[#This Row],[units_per_carton]])*bhpc_data!$AK84*bhpc_data[[#This Row],[product1_weight]]</f>
        <v>0</v>
      </c>
      <c r="AF162" s="348">
        <f>(bhpc_data[[#This Row],[gross_weight]]/bhpc_data[[#This Row],[units_per_carton]])*bhpc_data!$AK84*bhpc_data[[#This Row],[product2_weight]]</f>
        <v>0</v>
      </c>
      <c r="AG162" s="348">
        <f>(bhpc_data[[#This Row],[lenght]]*bhpc_data[[#This Row],[width]]*bhpc_data[[#This Row],[height]])/1000000000*bhpc_data!$AK84/bhpc_data[[#This Row],[units_per_carton]]*bhpc_data[[#This Row],[product1_weight]]</f>
        <v>0</v>
      </c>
      <c r="AH162" s="348">
        <f>(bhpc_data[[#This Row],[lenght]]*bhpc_data[[#This Row],[width]]*bhpc_data[[#This Row],[height]])/1000000000*bhpc_data!$AK84/bhpc_data[[#This Row],[units_per_carton]]*bhpc_data[[#This Row],[product2_weight]]</f>
        <v>0</v>
      </c>
      <c r="AI162" s="349">
        <f>SUMIF(productsSku,bhpc_data[[#This Row],[sku]],productsQty)+SUMIF(productsSku,bhpc_data[[#This Row],[sku]],productsDiscQty)</f>
        <v>0</v>
      </c>
      <c r="AJ162" s="349">
        <f>SUMIF(productsSku,bhpc_data[[#This Row],[sku]],productsFocQty)</f>
        <v>0</v>
      </c>
      <c r="AK162" s="350">
        <f>bhpc_data!$AI84+bhpc_data!$AJ84</f>
        <v>0</v>
      </c>
      <c r="AL162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62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62" s="551" t="str">
        <f>IF(bhpc_data[[#This Row],[hs_code]]="","",IF(bhpc_data[[#This Row],[hs_code]]="33030090",bhpc_data[[#This Row],[tot_order]]/bhpc_data[[#This Row],[units_per_carton]]*bhpc_data[[#This Row],[net_weight]],0))</f>
        <v/>
      </c>
      <c r="AO162" s="568" t="str">
        <f>IFERROR(bhpc_data[[#This Row],[tot_order]]/bhpc_data[[#This Row],[units_per_carton]]/bhpc_data[[#This Row],[box_per_europallet]],"")</f>
        <v/>
      </c>
      <c r="AP162" s="568" t="str">
        <f>IFERROR(bhpc_data[[#This Row],[tot_order]]/bhpc_data[[#This Row],[units_per_carton]]/bhpc_data[[#This Row],[box_per_pallet]],"")</f>
        <v/>
      </c>
      <c r="AQ162" s="581" t="str">
        <f>IFERROR(ROUNDUP(bhpc_data[[#This Row],[pallet_euro]],0),"")</f>
        <v/>
      </c>
      <c r="AR162" s="581" t="str">
        <f>IFERROR(ROUNDUP(bhpc_data[[#This Row],[pallet]],0),"")</f>
        <v/>
      </c>
    </row>
    <row r="163" spans="2:44">
      <c r="B163" s="77" t="s">
        <v>170</v>
      </c>
      <c r="C163" s="77">
        <v>1</v>
      </c>
      <c r="D163" s="77" t="s">
        <v>38</v>
      </c>
      <c r="E163" s="80"/>
      <c r="G163" s="77" t="s">
        <v>200</v>
      </c>
      <c r="H163" s="78" t="s">
        <v>173</v>
      </c>
      <c r="I163" s="559">
        <v>24</v>
      </c>
      <c r="S163" s="77">
        <v>300</v>
      </c>
      <c r="T163" s="77">
        <v>0</v>
      </c>
      <c r="U163" s="77">
        <v>0</v>
      </c>
      <c r="V163" s="77">
        <v>1</v>
      </c>
      <c r="W163" s="77">
        <v>0</v>
      </c>
      <c r="X163" s="77">
        <v>0</v>
      </c>
      <c r="Y163" s="77">
        <v>0</v>
      </c>
      <c r="Z163" s="78" t="s">
        <v>41</v>
      </c>
      <c r="AA163" s="351">
        <f>ROUNDUP(bhpc_data!$AI85/bhpc_data[[#This Row],[units_per_carton]],0)</f>
        <v>0</v>
      </c>
      <c r="AB163" s="351">
        <f>bhpc_data!$AJ85/bhpc_data[[#This Row],[units_per_carton]]</f>
        <v>0</v>
      </c>
      <c r="AC163" s="351">
        <f>(bhpc_data[[#This Row],[net_weight]]/bhpc_data[[#This Row],[units_per_carton]])*bhpc_data!$AK85*bhpc_data[[#This Row],[product1_weight]]</f>
        <v>0</v>
      </c>
      <c r="AD163" s="351">
        <f>(bhpc_data[[#This Row],[net_weight]]/bhpc_data[[#This Row],[units_per_carton]])*bhpc_data!$AK85*bhpc_data[[#This Row],[product2_weight]]</f>
        <v>0</v>
      </c>
      <c r="AE163" s="351">
        <f>(bhpc_data[[#This Row],[gross_weight]]/bhpc_data[[#This Row],[units_per_carton]])*bhpc_data!$AK85*bhpc_data[[#This Row],[product1_weight]]</f>
        <v>0</v>
      </c>
      <c r="AF163" s="351">
        <f>(bhpc_data[[#This Row],[gross_weight]]/bhpc_data[[#This Row],[units_per_carton]])*bhpc_data!$AK85*bhpc_data[[#This Row],[product2_weight]]</f>
        <v>0</v>
      </c>
      <c r="AG163" s="351">
        <f>(bhpc_data[[#This Row],[lenght]]*bhpc_data[[#This Row],[width]]*bhpc_data[[#This Row],[height]])/1000000000*bhpc_data!$AK85/bhpc_data[[#This Row],[units_per_carton]]*bhpc_data[[#This Row],[product1_weight]]</f>
        <v>0</v>
      </c>
      <c r="AH163" s="351">
        <f>(bhpc_data[[#This Row],[lenght]]*bhpc_data[[#This Row],[width]]*bhpc_data[[#This Row],[height]])/1000000000*bhpc_data!$AK85/bhpc_data[[#This Row],[units_per_carton]]*bhpc_data[[#This Row],[product2_weight]]</f>
        <v>0</v>
      </c>
      <c r="AI163" s="352">
        <f>SUMIF(productsSku,bhpc_data[[#This Row],[sku]],productsQty)+SUMIF(productsSku,bhpc_data[[#This Row],[sku]],productsDiscQty)</f>
        <v>0</v>
      </c>
      <c r="AJ163" s="352">
        <f>SUMIF(productsSku,bhpc_data[[#This Row],[sku]],productsFocQty)</f>
        <v>0</v>
      </c>
      <c r="AK163" s="353">
        <f>bhpc_data!$AI85+bhpc_data!$AJ85</f>
        <v>0</v>
      </c>
      <c r="AL163" s="551">
        <f>IFERROR(IF(bhpc_data[[#This Row],[hs_code]]="",bhpc_data[[#This Row],[tot_order]]/bhpc_data[[#This Row],[units_per_carton]]*bhpc_data[[#This Row],[net_weight]]*bhpc_data[[#This Row],[product1_weight]],IF(bhpc_data[[#This Row],[hs_code]]="33030010",bhpc_data[[#This Row],[tot_order]]/bhpc_data[[#This Row],[units_per_carton]]*bhpc_data[[#This Row],[net_weight]],0)),"")</f>
        <v>0</v>
      </c>
      <c r="AM163" s="551">
        <f>IFERROR(IF(bhpc_data[[#This Row],[hs_code]]="",bhpc_data[[#This Row],[tot_order]]/bhpc_data[[#This Row],[units_per_carton]]*bhpc_data[[#This Row],[net_weight]]*bhpc_data[[#This Row],[product2_weight]],IF(bhpc_data[[#This Row],[hs_code]]="33072000",bhpc_data[[#This Row],[tot_order]]/bhpc_data[[#This Row],[units_per_carton]]*bhpc_data[[#This Row],[net_weight]],0)),"")</f>
        <v>0</v>
      </c>
      <c r="AN163" s="551" t="str">
        <f>IF(bhpc_data[[#This Row],[hs_code]]="","",IF(bhpc_data[[#This Row],[hs_code]]="33030090",bhpc_data[[#This Row],[tot_order]]/bhpc_data[[#This Row],[units_per_carton]]*bhpc_data[[#This Row],[net_weight]],0))</f>
        <v/>
      </c>
      <c r="AO163" s="568" t="str">
        <f>IFERROR(bhpc_data[[#This Row],[tot_order]]/bhpc_data[[#This Row],[units_per_carton]]/bhpc_data[[#This Row],[box_per_europallet]],"")</f>
        <v/>
      </c>
      <c r="AP163" s="568" t="str">
        <f>IFERROR(bhpc_data[[#This Row],[tot_order]]/bhpc_data[[#This Row],[units_per_carton]]/bhpc_data[[#This Row],[box_per_pallet]],"")</f>
        <v/>
      </c>
      <c r="AQ163" s="581" t="str">
        <f>IFERROR(ROUNDUP(bhpc_data[[#This Row],[pallet_euro]],0),"")</f>
        <v/>
      </c>
      <c r="AR163" s="581" t="str">
        <f>IFERROR(ROUNDUP(bhpc_data[[#This Row],[pallet]],0),"")</f>
        <v/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5"/>
  <dimension ref="A1:Z74"/>
  <sheetViews>
    <sheetView workbookViewId="0">
      <pane xSplit="1" ySplit="1" topLeftCell="J2" activePane="bottomRight" state="frozen"/>
      <selection activeCell="A2" sqref="A2"/>
      <selection pane="topRight" activeCell="A2" sqref="A2"/>
      <selection pane="bottomLeft" activeCell="A2" sqref="A2"/>
      <selection pane="bottomRight" activeCell="N31" sqref="N31"/>
    </sheetView>
  </sheetViews>
  <sheetFormatPr defaultColWidth="8.7109375" defaultRowHeight="15"/>
  <cols>
    <col min="1" max="1" width="31.140625" style="74" bestFit="1" customWidth="1"/>
    <col min="2" max="2" width="17" style="1" bestFit="1" customWidth="1"/>
    <col min="3" max="3" width="105.7109375" style="74" bestFit="1" customWidth="1"/>
    <col min="4" max="4" width="42.5703125" bestFit="1" customWidth="1"/>
    <col min="5" max="6" width="38.7109375" bestFit="1" customWidth="1"/>
    <col min="7" max="7" width="39.5703125" bestFit="1" customWidth="1"/>
    <col min="8" max="8" width="38.28515625" bestFit="1" customWidth="1"/>
    <col min="9" max="10" width="38.28515625" customWidth="1"/>
    <col min="11" max="11" width="44" style="94" bestFit="1" customWidth="1"/>
    <col min="12" max="13" width="31.28515625" style="94" customWidth="1"/>
    <col min="14" max="14" width="31.28515625" customWidth="1"/>
    <col min="15" max="15" width="57.85546875" style="1" bestFit="1" customWidth="1"/>
    <col min="16" max="16" width="55.85546875" customWidth="1"/>
    <col min="17" max="17" width="12" style="1" bestFit="1" customWidth="1"/>
    <col min="18" max="18" width="8.7109375" style="76"/>
    <col min="19" max="19" width="31.7109375" style="1" customWidth="1"/>
    <col min="20" max="20" width="34.5703125" customWidth="1"/>
  </cols>
  <sheetData>
    <row r="1" spans="1:26" s="18" customFormat="1">
      <c r="A1" s="18" t="s">
        <v>228</v>
      </c>
      <c r="B1" s="18" t="s">
        <v>229</v>
      </c>
      <c r="C1" s="18" t="s">
        <v>230</v>
      </c>
      <c r="D1" s="18" t="s">
        <v>231</v>
      </c>
      <c r="E1" s="18" t="s">
        <v>232</v>
      </c>
      <c r="F1" s="18" t="s">
        <v>233</v>
      </c>
      <c r="G1" s="18" t="s">
        <v>234</v>
      </c>
      <c r="H1" s="18" t="s">
        <v>235</v>
      </c>
      <c r="I1" s="18" t="s">
        <v>236</v>
      </c>
      <c r="J1" s="18" t="s">
        <v>886</v>
      </c>
      <c r="K1" s="18" t="s">
        <v>237</v>
      </c>
      <c r="L1" s="18" t="s">
        <v>238</v>
      </c>
      <c r="M1" s="18" t="s">
        <v>239</v>
      </c>
      <c r="N1" s="18" t="s">
        <v>240</v>
      </c>
      <c r="O1" s="18" t="s">
        <v>241</v>
      </c>
      <c r="P1" s="18" t="s">
        <v>242</v>
      </c>
      <c r="Q1" s="18" t="s">
        <v>243</v>
      </c>
      <c r="R1" s="73" t="s">
        <v>244</v>
      </c>
      <c r="S1" s="18" t="s">
        <v>245</v>
      </c>
      <c r="T1" s="18" t="s">
        <v>246</v>
      </c>
      <c r="Z1" s="18">
        <f>COUNTA(A:A)</f>
        <v>52</v>
      </c>
    </row>
    <row r="2" spans="1:26">
      <c r="A2" s="74" t="s">
        <v>247</v>
      </c>
      <c r="B2" s="1" t="s">
        <v>248</v>
      </c>
      <c r="C2" s="74" t="s">
        <v>290</v>
      </c>
      <c r="D2" s="74" t="s">
        <v>249</v>
      </c>
      <c r="E2" s="74"/>
      <c r="F2" s="74" t="s">
        <v>250</v>
      </c>
      <c r="G2" s="74" t="s">
        <v>251</v>
      </c>
      <c r="H2" s="437" t="s">
        <v>252</v>
      </c>
      <c r="I2" s="437"/>
      <c r="J2" s="437" t="s">
        <v>947</v>
      </c>
      <c r="K2" s="438" t="s">
        <v>253</v>
      </c>
      <c r="L2" s="438" t="s">
        <v>254</v>
      </c>
      <c r="M2" s="438" t="s">
        <v>252</v>
      </c>
      <c r="N2" s="437" t="s">
        <v>255</v>
      </c>
      <c r="O2" s="1" t="s">
        <v>256</v>
      </c>
      <c r="P2" t="s">
        <v>257</v>
      </c>
      <c r="Q2" s="1" t="s">
        <v>258</v>
      </c>
      <c r="R2" s="76" t="s">
        <v>259</v>
      </c>
      <c r="S2" s="1" t="s">
        <v>260</v>
      </c>
      <c r="T2" s="1"/>
    </row>
    <row r="3" spans="1:26">
      <c r="A3" s="74" t="s">
        <v>261</v>
      </c>
      <c r="B3" s="1" t="s">
        <v>262</v>
      </c>
      <c r="C3" s="74" t="s">
        <v>761</v>
      </c>
      <c r="D3" t="s">
        <v>263</v>
      </c>
      <c r="E3" t="s">
        <v>264</v>
      </c>
      <c r="F3" t="s">
        <v>265</v>
      </c>
      <c r="G3" t="s">
        <v>266</v>
      </c>
      <c r="H3" s="437" t="s">
        <v>267</v>
      </c>
      <c r="I3" s="437"/>
      <c r="J3" s="437"/>
      <c r="K3" s="438" t="s">
        <v>268</v>
      </c>
      <c r="L3" s="438" t="s">
        <v>269</v>
      </c>
      <c r="M3" s="438"/>
      <c r="N3" s="437" t="s">
        <v>270</v>
      </c>
      <c r="O3" s="1" t="s">
        <v>256</v>
      </c>
      <c r="P3" t="s">
        <v>369</v>
      </c>
      <c r="Q3" s="1" t="s">
        <v>258</v>
      </c>
      <c r="R3" s="76" t="s">
        <v>259</v>
      </c>
      <c r="S3" s="1" t="s">
        <v>260</v>
      </c>
      <c r="T3" s="1"/>
    </row>
    <row r="4" spans="1:26">
      <c r="A4" s="74" t="s">
        <v>271</v>
      </c>
      <c r="B4" s="1" t="s">
        <v>272</v>
      </c>
      <c r="C4" s="74" t="s">
        <v>1140</v>
      </c>
      <c r="D4" t="s">
        <v>274</v>
      </c>
      <c r="F4" t="s">
        <v>275</v>
      </c>
      <c r="G4" t="s">
        <v>276</v>
      </c>
      <c r="H4" s="437" t="s">
        <v>277</v>
      </c>
      <c r="I4" s="437"/>
      <c r="J4" s="437"/>
      <c r="K4" s="438" t="s">
        <v>275</v>
      </c>
      <c r="L4" s="438" t="s">
        <v>276</v>
      </c>
      <c r="M4" s="438" t="s">
        <v>277</v>
      </c>
      <c r="N4" s="437" t="s">
        <v>278</v>
      </c>
      <c r="O4" s="1" t="s">
        <v>256</v>
      </c>
      <c r="P4" t="s">
        <v>369</v>
      </c>
      <c r="Q4" s="1" t="s">
        <v>258</v>
      </c>
      <c r="R4" s="76" t="s">
        <v>259</v>
      </c>
      <c r="S4" s="1" t="s">
        <v>260</v>
      </c>
      <c r="T4" s="1"/>
    </row>
    <row r="5" spans="1:26">
      <c r="A5" s="74" t="s">
        <v>279</v>
      </c>
      <c r="B5" s="1" t="s">
        <v>280</v>
      </c>
      <c r="C5" s="74" t="s">
        <v>1140</v>
      </c>
      <c r="D5" t="s">
        <v>281</v>
      </c>
      <c r="F5" t="s">
        <v>282</v>
      </c>
      <c r="G5" t="s">
        <v>762</v>
      </c>
      <c r="H5" s="437" t="s">
        <v>283</v>
      </c>
      <c r="I5" s="437" t="s">
        <v>284</v>
      </c>
      <c r="J5" s="437"/>
      <c r="K5" s="438"/>
      <c r="L5" s="438"/>
      <c r="M5" s="438"/>
      <c r="N5" s="437"/>
      <c r="O5" s="1" t="s">
        <v>256</v>
      </c>
      <c r="P5" t="s">
        <v>369</v>
      </c>
      <c r="Q5" s="1" t="s">
        <v>285</v>
      </c>
      <c r="R5" s="76" t="s">
        <v>286</v>
      </c>
      <c r="S5" s="1" t="s">
        <v>287</v>
      </c>
      <c r="T5" s="1"/>
    </row>
    <row r="6" spans="1:26">
      <c r="A6" s="74" t="s">
        <v>288</v>
      </c>
      <c r="B6" s="1" t="s">
        <v>289</v>
      </c>
      <c r="C6" s="74" t="s">
        <v>290</v>
      </c>
      <c r="D6" t="s">
        <v>291</v>
      </c>
      <c r="F6" t="s">
        <v>292</v>
      </c>
      <c r="G6" t="s">
        <v>293</v>
      </c>
      <c r="H6" s="437"/>
      <c r="I6" s="437"/>
      <c r="J6" s="437"/>
      <c r="K6" s="438" t="s">
        <v>763</v>
      </c>
      <c r="L6" s="438" t="s">
        <v>764</v>
      </c>
      <c r="M6" s="438" t="s">
        <v>294</v>
      </c>
      <c r="N6" s="437"/>
      <c r="O6" s="1" t="s">
        <v>256</v>
      </c>
      <c r="P6" t="s">
        <v>369</v>
      </c>
      <c r="Q6" s="1" t="s">
        <v>258</v>
      </c>
      <c r="R6" s="76" t="s">
        <v>286</v>
      </c>
      <c r="S6" s="1" t="s">
        <v>287</v>
      </c>
      <c r="T6" s="1"/>
    </row>
    <row r="7" spans="1:26">
      <c r="A7" s="74" t="s">
        <v>295</v>
      </c>
      <c r="B7" s="1" t="s">
        <v>296</v>
      </c>
      <c r="C7" s="74" t="s">
        <v>290</v>
      </c>
      <c r="D7" t="s">
        <v>295</v>
      </c>
      <c r="F7" t="s">
        <v>765</v>
      </c>
      <c r="G7" t="s">
        <v>297</v>
      </c>
      <c r="H7" s="437" t="s">
        <v>298</v>
      </c>
      <c r="I7" s="437"/>
      <c r="J7" s="437"/>
      <c r="K7" s="438"/>
      <c r="L7" s="438"/>
      <c r="M7" s="438"/>
      <c r="N7" s="437"/>
      <c r="O7" s="1" t="s">
        <v>256</v>
      </c>
      <c r="P7" t="s">
        <v>369</v>
      </c>
      <c r="Q7" s="1" t="s">
        <v>258</v>
      </c>
      <c r="R7" s="76" t="s">
        <v>286</v>
      </c>
      <c r="S7" s="1" t="s">
        <v>287</v>
      </c>
      <c r="T7" s="1"/>
    </row>
    <row r="8" spans="1:26">
      <c r="A8" s="74" t="s">
        <v>940</v>
      </c>
      <c r="B8" s="1" t="s">
        <v>41</v>
      </c>
      <c r="D8" t="s">
        <v>941</v>
      </c>
      <c r="F8" t="s">
        <v>942</v>
      </c>
      <c r="G8" t="s">
        <v>943</v>
      </c>
      <c r="H8" s="437" t="s">
        <v>41</v>
      </c>
      <c r="I8" s="437"/>
      <c r="J8" s="437" t="s">
        <v>944</v>
      </c>
      <c r="K8" s="438"/>
      <c r="L8" s="438"/>
      <c r="M8" s="438"/>
      <c r="N8" s="437"/>
      <c r="Q8" s="1" t="s">
        <v>258</v>
      </c>
      <c r="R8" s="76" t="s">
        <v>259</v>
      </c>
      <c r="S8" s="1" t="s">
        <v>260</v>
      </c>
      <c r="T8" s="1"/>
    </row>
    <row r="9" spans="1:26">
      <c r="A9" s="74" t="s">
        <v>299</v>
      </c>
      <c r="B9" s="1" t="s">
        <v>300</v>
      </c>
      <c r="C9" s="74" t="s">
        <v>290</v>
      </c>
      <c r="D9" t="s">
        <v>301</v>
      </c>
      <c r="F9" t="s">
        <v>302</v>
      </c>
      <c r="G9" t="s">
        <v>303</v>
      </c>
      <c r="H9" s="437" t="s">
        <v>304</v>
      </c>
      <c r="I9" s="437"/>
      <c r="J9" s="437"/>
      <c r="K9" s="438"/>
      <c r="L9" s="438"/>
      <c r="M9" s="438"/>
      <c r="N9" s="437"/>
      <c r="O9" s="1" t="s">
        <v>305</v>
      </c>
      <c r="P9" t="s">
        <v>369</v>
      </c>
      <c r="Q9" s="1" t="s">
        <v>285</v>
      </c>
      <c r="R9" s="76" t="s">
        <v>286</v>
      </c>
      <c r="S9" s="1" t="s">
        <v>287</v>
      </c>
      <c r="T9" s="1"/>
    </row>
    <row r="10" spans="1:26">
      <c r="A10" s="74" t="s">
        <v>306</v>
      </c>
      <c r="B10" s="1" t="s">
        <v>307</v>
      </c>
      <c r="C10" s="74" t="s">
        <v>761</v>
      </c>
      <c r="D10" t="s">
        <v>308</v>
      </c>
      <c r="F10" t="s">
        <v>309</v>
      </c>
      <c r="G10" t="s">
        <v>766</v>
      </c>
      <c r="H10" s="437"/>
      <c r="I10" s="437"/>
      <c r="J10" s="437"/>
      <c r="K10" s="438"/>
      <c r="L10" s="438"/>
      <c r="M10" s="438"/>
      <c r="N10" s="437"/>
      <c r="O10" s="1" t="s">
        <v>256</v>
      </c>
      <c r="Q10" s="1" t="s">
        <v>285</v>
      </c>
      <c r="R10" s="76" t="s">
        <v>286</v>
      </c>
      <c r="S10" s="1" t="s">
        <v>287</v>
      </c>
      <c r="T10" s="1"/>
    </row>
    <row r="11" spans="1:26">
      <c r="A11" s="74" t="s">
        <v>310</v>
      </c>
      <c r="B11" s="1" t="s">
        <v>311</v>
      </c>
      <c r="C11" s="74" t="s">
        <v>290</v>
      </c>
      <c r="D11" t="s">
        <v>312</v>
      </c>
      <c r="F11" t="s">
        <v>767</v>
      </c>
      <c r="G11" t="s">
        <v>313</v>
      </c>
      <c r="H11" s="437" t="s">
        <v>314</v>
      </c>
      <c r="I11" s="437"/>
      <c r="J11" s="437"/>
      <c r="K11" s="438" t="s">
        <v>315</v>
      </c>
      <c r="L11" s="438" t="s">
        <v>316</v>
      </c>
      <c r="M11" s="438"/>
      <c r="N11" s="437" t="s">
        <v>317</v>
      </c>
      <c r="O11" s="1" t="s">
        <v>318</v>
      </c>
      <c r="P11" t="s">
        <v>257</v>
      </c>
      <c r="Q11" s="1" t="s">
        <v>258</v>
      </c>
      <c r="R11" s="76" t="s">
        <v>319</v>
      </c>
      <c r="S11" s="1" t="s">
        <v>320</v>
      </c>
      <c r="T11" s="1"/>
    </row>
    <row r="12" spans="1:26">
      <c r="A12" s="74" t="s">
        <v>321</v>
      </c>
      <c r="B12" s="1" t="s">
        <v>322</v>
      </c>
      <c r="C12" s="74" t="s">
        <v>290</v>
      </c>
      <c r="D12" t="s">
        <v>323</v>
      </c>
      <c r="E12" t="s">
        <v>768</v>
      </c>
      <c r="F12" t="s">
        <v>769</v>
      </c>
      <c r="G12" t="s">
        <v>324</v>
      </c>
      <c r="H12" s="437" t="s">
        <v>325</v>
      </c>
      <c r="I12" s="437"/>
      <c r="J12" s="437"/>
      <c r="K12" s="438" t="s">
        <v>770</v>
      </c>
      <c r="L12" s="438" t="s">
        <v>326</v>
      </c>
      <c r="M12" s="438" t="s">
        <v>771</v>
      </c>
      <c r="N12" s="437" t="s">
        <v>327</v>
      </c>
      <c r="O12" s="1" t="s">
        <v>1257</v>
      </c>
      <c r="P12" t="s">
        <v>369</v>
      </c>
      <c r="Q12" s="1" t="s">
        <v>258</v>
      </c>
      <c r="R12" s="76" t="s">
        <v>259</v>
      </c>
      <c r="S12" s="1" t="s">
        <v>260</v>
      </c>
      <c r="T12" s="1"/>
    </row>
    <row r="13" spans="1:26">
      <c r="A13" s="74" t="s">
        <v>329</v>
      </c>
      <c r="B13" s="1" t="s">
        <v>296</v>
      </c>
      <c r="C13" s="74" t="s">
        <v>290</v>
      </c>
      <c r="D13" t="s">
        <v>330</v>
      </c>
      <c r="F13" t="s">
        <v>331</v>
      </c>
      <c r="G13" t="s">
        <v>332</v>
      </c>
      <c r="H13" s="437" t="s">
        <v>333</v>
      </c>
      <c r="I13" s="437" t="s">
        <v>772</v>
      </c>
      <c r="J13" s="75" t="s">
        <v>1304</v>
      </c>
      <c r="K13" s="438" t="s">
        <v>773</v>
      </c>
      <c r="L13" s="438" t="s">
        <v>334</v>
      </c>
      <c r="M13" s="438" t="s">
        <v>335</v>
      </c>
      <c r="N13" s="437"/>
      <c r="O13" s="1" t="s">
        <v>1257</v>
      </c>
      <c r="P13" t="s">
        <v>369</v>
      </c>
      <c r="Q13" s="1" t="s">
        <v>258</v>
      </c>
      <c r="R13" s="76" t="s">
        <v>286</v>
      </c>
      <c r="S13" s="1" t="s">
        <v>287</v>
      </c>
      <c r="T13" s="1"/>
    </row>
    <row r="14" spans="1:26">
      <c r="A14" s="74" t="s">
        <v>336</v>
      </c>
      <c r="B14" s="1" t="s">
        <v>337</v>
      </c>
      <c r="C14" s="74" t="s">
        <v>761</v>
      </c>
      <c r="D14" t="s">
        <v>338</v>
      </c>
      <c r="E14" t="s">
        <v>339</v>
      </c>
      <c r="H14" s="437"/>
      <c r="I14" s="437"/>
      <c r="J14" s="437"/>
      <c r="K14" s="438" t="s">
        <v>774</v>
      </c>
      <c r="L14" s="438" t="s">
        <v>775</v>
      </c>
      <c r="M14" s="438" t="s">
        <v>337</v>
      </c>
      <c r="N14" s="437"/>
      <c r="O14" s="1" t="s">
        <v>256</v>
      </c>
      <c r="P14" t="s">
        <v>340</v>
      </c>
      <c r="Q14" s="1" t="s">
        <v>258</v>
      </c>
      <c r="R14" s="76" t="s">
        <v>286</v>
      </c>
      <c r="S14" s="1" t="s">
        <v>287</v>
      </c>
      <c r="T14" s="1"/>
    </row>
    <row r="15" spans="1:26">
      <c r="A15" s="74" t="s">
        <v>946</v>
      </c>
      <c r="B15" s="1" t="s">
        <v>341</v>
      </c>
      <c r="C15" s="74" t="s">
        <v>290</v>
      </c>
      <c r="D15" t="s">
        <v>776</v>
      </c>
      <c r="H15" s="437"/>
      <c r="I15" s="437"/>
      <c r="J15" s="437"/>
      <c r="K15" s="438"/>
      <c r="L15" s="438"/>
      <c r="M15" s="438"/>
      <c r="N15" s="437"/>
      <c r="Q15" s="1" t="s">
        <v>258</v>
      </c>
      <c r="R15" s="76" t="s">
        <v>259</v>
      </c>
      <c r="S15" s="1" t="s">
        <v>260</v>
      </c>
      <c r="T15" s="1"/>
    </row>
    <row r="16" spans="1:26">
      <c r="A16" s="74" t="s">
        <v>945</v>
      </c>
      <c r="B16" s="1" t="s">
        <v>1157</v>
      </c>
      <c r="C16" s="74" t="s">
        <v>290</v>
      </c>
      <c r="D16" t="s">
        <v>776</v>
      </c>
      <c r="F16" s="438" t="s">
        <v>777</v>
      </c>
      <c r="G16" s="438" t="s">
        <v>778</v>
      </c>
      <c r="H16" s="438" t="s">
        <v>779</v>
      </c>
      <c r="I16" s="437"/>
      <c r="J16" s="75" t="s">
        <v>1156</v>
      </c>
      <c r="K16" s="438" t="s">
        <v>777</v>
      </c>
      <c r="L16" s="438" t="s">
        <v>778</v>
      </c>
      <c r="M16" s="438" t="s">
        <v>779</v>
      </c>
      <c r="N16" s="437" t="s">
        <v>780</v>
      </c>
      <c r="O16" s="1" t="s">
        <v>1261</v>
      </c>
      <c r="P16" t="s">
        <v>257</v>
      </c>
      <c r="Q16" s="1" t="s">
        <v>782</v>
      </c>
      <c r="R16" s="76" t="s">
        <v>286</v>
      </c>
      <c r="S16" s="1" t="s">
        <v>287</v>
      </c>
      <c r="T16" s="1"/>
    </row>
    <row r="17" spans="1:20">
      <c r="A17" s="457" t="s">
        <v>1136</v>
      </c>
      <c r="B17" s="458" t="s">
        <v>1137</v>
      </c>
      <c r="C17" s="74" t="s">
        <v>1140</v>
      </c>
      <c r="D17" s="393" t="s">
        <v>1136</v>
      </c>
      <c r="E17" s="393"/>
      <c r="F17" s="393"/>
      <c r="G17" s="393"/>
      <c r="H17" s="459"/>
      <c r="I17" s="459"/>
      <c r="J17" s="459"/>
      <c r="K17" s="460" t="s">
        <v>1138</v>
      </c>
      <c r="L17" s="460" t="s">
        <v>1139</v>
      </c>
      <c r="M17" s="460" t="s">
        <v>1137</v>
      </c>
      <c r="N17" s="459"/>
      <c r="O17" s="1" t="s">
        <v>256</v>
      </c>
      <c r="P17" t="s">
        <v>369</v>
      </c>
      <c r="Q17" s="458" t="s">
        <v>258</v>
      </c>
      <c r="R17" s="461" t="s">
        <v>259</v>
      </c>
      <c r="S17" s="1" t="s">
        <v>260</v>
      </c>
      <c r="T17" s="458"/>
    </row>
    <row r="18" spans="1:20">
      <c r="A18" s="74" t="s">
        <v>342</v>
      </c>
      <c r="B18" s="1" t="s">
        <v>343</v>
      </c>
      <c r="C18" s="74" t="s">
        <v>290</v>
      </c>
      <c r="D18" t="s">
        <v>783</v>
      </c>
      <c r="H18" s="437"/>
      <c r="I18" s="437"/>
      <c r="J18" s="437"/>
      <c r="K18" s="438" t="s">
        <v>784</v>
      </c>
      <c r="L18" s="438" t="s">
        <v>785</v>
      </c>
      <c r="M18" s="438" t="s">
        <v>786</v>
      </c>
      <c r="N18" s="437" t="s">
        <v>787</v>
      </c>
      <c r="O18" s="1" t="s">
        <v>256</v>
      </c>
      <c r="P18" t="s">
        <v>369</v>
      </c>
      <c r="Q18" s="1" t="s">
        <v>285</v>
      </c>
      <c r="R18" s="76" t="s">
        <v>286</v>
      </c>
      <c r="S18" s="1" t="s">
        <v>287</v>
      </c>
      <c r="T18" s="1"/>
    </row>
    <row r="19" spans="1:20">
      <c r="A19" s="74" t="s">
        <v>344</v>
      </c>
      <c r="B19" s="1" t="s">
        <v>345</v>
      </c>
      <c r="C19" s="74" t="s">
        <v>290</v>
      </c>
      <c r="D19" t="s">
        <v>346</v>
      </c>
      <c r="F19" t="s">
        <v>347</v>
      </c>
      <c r="G19" t="s">
        <v>348</v>
      </c>
      <c r="H19" s="437" t="s">
        <v>349</v>
      </c>
      <c r="I19" s="437"/>
      <c r="J19" s="437" t="s">
        <v>915</v>
      </c>
      <c r="K19" s="438" t="s">
        <v>347</v>
      </c>
      <c r="L19" s="438" t="s">
        <v>348</v>
      </c>
      <c r="M19" s="438" t="s">
        <v>349</v>
      </c>
      <c r="N19" s="437" t="s">
        <v>350</v>
      </c>
      <c r="O19" s="1" t="s">
        <v>256</v>
      </c>
      <c r="P19" t="s">
        <v>369</v>
      </c>
      <c r="Q19" s="1" t="s">
        <v>258</v>
      </c>
      <c r="R19" s="76" t="s">
        <v>259</v>
      </c>
      <c r="S19" s="1" t="s">
        <v>260</v>
      </c>
      <c r="T19" s="1"/>
    </row>
    <row r="20" spans="1:20">
      <c r="A20" s="74" t="s">
        <v>351</v>
      </c>
      <c r="B20" s="1" t="s">
        <v>322</v>
      </c>
      <c r="C20" s="74" t="s">
        <v>1140</v>
      </c>
      <c r="D20" t="s">
        <v>352</v>
      </c>
      <c r="F20" t="s">
        <v>788</v>
      </c>
      <c r="G20" t="s">
        <v>789</v>
      </c>
      <c r="H20" s="437" t="s">
        <v>322</v>
      </c>
      <c r="I20" s="437"/>
      <c r="J20" s="437"/>
      <c r="K20" s="438"/>
      <c r="L20" s="438"/>
      <c r="M20" s="438"/>
      <c r="N20" s="437" t="s">
        <v>353</v>
      </c>
      <c r="O20" s="1" t="s">
        <v>256</v>
      </c>
      <c r="P20" t="s">
        <v>369</v>
      </c>
      <c r="Q20" s="1" t="s">
        <v>258</v>
      </c>
      <c r="R20" s="76" t="s">
        <v>259</v>
      </c>
      <c r="S20" s="1" t="s">
        <v>260</v>
      </c>
      <c r="T20" s="1"/>
    </row>
    <row r="21" spans="1:20">
      <c r="A21" s="74" t="s">
        <v>354</v>
      </c>
      <c r="B21" s="1" t="s">
        <v>41</v>
      </c>
      <c r="C21" s="74" t="s">
        <v>355</v>
      </c>
      <c r="D21" t="s">
        <v>356</v>
      </c>
      <c r="F21" t="s">
        <v>892</v>
      </c>
      <c r="G21" t="s">
        <v>893</v>
      </c>
      <c r="H21" s="437" t="s">
        <v>359</v>
      </c>
      <c r="I21" s="437"/>
      <c r="J21" s="437" t="s">
        <v>1117</v>
      </c>
      <c r="K21" s="438" t="s">
        <v>357</v>
      </c>
      <c r="L21" s="438" t="s">
        <v>358</v>
      </c>
      <c r="M21" s="438" t="s">
        <v>359</v>
      </c>
      <c r="N21" s="437" t="s">
        <v>360</v>
      </c>
      <c r="O21" s="1" t="s">
        <v>1249</v>
      </c>
      <c r="P21" t="s">
        <v>791</v>
      </c>
      <c r="Q21" s="1" t="s">
        <v>258</v>
      </c>
      <c r="R21" s="76" t="s">
        <v>259</v>
      </c>
      <c r="S21" s="1" t="s">
        <v>260</v>
      </c>
      <c r="T21" s="1" t="s">
        <v>1253</v>
      </c>
    </row>
    <row r="22" spans="1:20">
      <c r="A22" s="74" t="s">
        <v>361</v>
      </c>
      <c r="B22" s="1" t="s">
        <v>362</v>
      </c>
      <c r="C22" s="74" t="s">
        <v>290</v>
      </c>
      <c r="D22" t="s">
        <v>363</v>
      </c>
      <c r="H22" s="437"/>
      <c r="I22" s="437"/>
      <c r="J22" s="437"/>
      <c r="K22" s="438" t="s">
        <v>792</v>
      </c>
      <c r="L22" s="438" t="s">
        <v>793</v>
      </c>
      <c r="M22" s="438"/>
      <c r="N22" s="437" t="s">
        <v>364</v>
      </c>
      <c r="O22" s="1" t="s">
        <v>256</v>
      </c>
      <c r="P22" t="s">
        <v>794</v>
      </c>
      <c r="Q22" s="1" t="s">
        <v>258</v>
      </c>
      <c r="R22" s="76" t="s">
        <v>259</v>
      </c>
      <c r="S22" s="1" t="s">
        <v>260</v>
      </c>
      <c r="T22" s="1"/>
    </row>
    <row r="23" spans="1:20">
      <c r="A23" s="74" t="s">
        <v>365</v>
      </c>
      <c r="B23" s="1" t="s">
        <v>366</v>
      </c>
      <c r="C23" s="74" t="s">
        <v>761</v>
      </c>
      <c r="H23" s="437"/>
      <c r="I23" s="437"/>
      <c r="J23" s="437"/>
      <c r="K23" s="438"/>
      <c r="L23" s="438"/>
      <c r="M23" s="438"/>
      <c r="N23" s="437"/>
      <c r="T23" s="1"/>
    </row>
    <row r="24" spans="1:20">
      <c r="A24" s="74" t="s">
        <v>367</v>
      </c>
      <c r="B24" s="1" t="s">
        <v>366</v>
      </c>
      <c r="C24" s="74" t="s">
        <v>761</v>
      </c>
      <c r="H24" s="437"/>
      <c r="I24" s="437"/>
      <c r="J24" s="437"/>
      <c r="K24" s="438"/>
      <c r="L24" s="438"/>
      <c r="M24" s="438"/>
      <c r="N24" s="437"/>
      <c r="T24" s="1"/>
    </row>
    <row r="25" spans="1:20">
      <c r="A25" s="74" t="s">
        <v>795</v>
      </c>
      <c r="B25" s="1" t="s">
        <v>752</v>
      </c>
      <c r="C25" s="74" t="s">
        <v>1140</v>
      </c>
      <c r="D25" t="s">
        <v>753</v>
      </c>
      <c r="F25" t="s">
        <v>754</v>
      </c>
      <c r="G25" t="s">
        <v>755</v>
      </c>
      <c r="H25" s="437" t="s">
        <v>752</v>
      </c>
      <c r="I25" s="437"/>
      <c r="J25" s="437" t="s">
        <v>916</v>
      </c>
      <c r="K25" s="438" t="s">
        <v>754</v>
      </c>
      <c r="L25" s="438" t="s">
        <v>755</v>
      </c>
      <c r="M25" s="438" t="s">
        <v>752</v>
      </c>
      <c r="N25" s="437"/>
      <c r="O25" s="1" t="s">
        <v>256</v>
      </c>
      <c r="P25" t="s">
        <v>369</v>
      </c>
      <c r="Q25" s="1" t="s">
        <v>258</v>
      </c>
      <c r="R25" s="76" t="s">
        <v>286</v>
      </c>
      <c r="S25" s="1" t="s">
        <v>287</v>
      </c>
      <c r="T25" s="1"/>
    </row>
    <row r="26" spans="1:20">
      <c r="A26" s="74" t="s">
        <v>368</v>
      </c>
      <c r="B26" s="1" t="s">
        <v>1161</v>
      </c>
      <c r="C26" s="74" t="s">
        <v>1140</v>
      </c>
      <c r="D26" t="s">
        <v>796</v>
      </c>
      <c r="F26" t="s">
        <v>797</v>
      </c>
      <c r="G26" t="s">
        <v>798</v>
      </c>
      <c r="H26" s="437" t="s">
        <v>799</v>
      </c>
      <c r="I26" s="437" t="s">
        <v>800</v>
      </c>
      <c r="J26" s="437" t="s">
        <v>800</v>
      </c>
      <c r="K26" t="s">
        <v>797</v>
      </c>
      <c r="L26" t="s">
        <v>798</v>
      </c>
      <c r="M26" s="437" t="s">
        <v>799</v>
      </c>
      <c r="N26" s="437"/>
      <c r="O26" s="1" t="s">
        <v>1252</v>
      </c>
      <c r="P26" t="s">
        <v>369</v>
      </c>
      <c r="Q26" s="1" t="s">
        <v>258</v>
      </c>
      <c r="R26" s="76" t="s">
        <v>286</v>
      </c>
      <c r="S26" s="1" t="s">
        <v>287</v>
      </c>
      <c r="T26" s="1"/>
    </row>
    <row r="27" spans="1:20">
      <c r="A27" s="74" t="s">
        <v>370</v>
      </c>
      <c r="B27" s="1" t="s">
        <v>341</v>
      </c>
      <c r="C27" s="74" t="s">
        <v>761</v>
      </c>
      <c r="H27" s="437"/>
      <c r="I27" s="437"/>
      <c r="J27" s="437"/>
      <c r="K27" s="438"/>
      <c r="L27" s="438"/>
      <c r="M27" s="438"/>
      <c r="N27" s="437"/>
      <c r="T27" s="1"/>
    </row>
    <row r="28" spans="1:20">
      <c r="A28" s="74" t="s">
        <v>371</v>
      </c>
      <c r="B28" s="1" t="s">
        <v>372</v>
      </c>
      <c r="C28" s="74" t="s">
        <v>290</v>
      </c>
      <c r="D28" t="s">
        <v>801</v>
      </c>
      <c r="F28" t="s">
        <v>802</v>
      </c>
      <c r="G28" t="s">
        <v>1176</v>
      </c>
      <c r="H28" s="437" t="s">
        <v>803</v>
      </c>
      <c r="I28" s="437"/>
      <c r="J28" s="75" t="s">
        <v>1147</v>
      </c>
      <c r="K28" s="438" t="s">
        <v>802</v>
      </c>
      <c r="L28" s="565" t="s">
        <v>1176</v>
      </c>
      <c r="M28" s="438" t="s">
        <v>803</v>
      </c>
      <c r="N28" s="437"/>
      <c r="O28" s="1" t="s">
        <v>1148</v>
      </c>
      <c r="P28" t="s">
        <v>257</v>
      </c>
      <c r="Q28" s="1" t="s">
        <v>285</v>
      </c>
      <c r="R28" s="76" t="s">
        <v>286</v>
      </c>
      <c r="S28" s="1" t="s">
        <v>287</v>
      </c>
      <c r="T28" s="1"/>
    </row>
    <row r="29" spans="1:20">
      <c r="A29" s="74" t="s">
        <v>373</v>
      </c>
      <c r="B29" s="1" t="s">
        <v>374</v>
      </c>
      <c r="C29" s="74" t="s">
        <v>761</v>
      </c>
      <c r="H29" s="437"/>
      <c r="I29" s="437"/>
      <c r="J29" s="437"/>
      <c r="K29" s="438"/>
      <c r="L29" s="438"/>
      <c r="M29" s="438"/>
      <c r="N29" s="437"/>
      <c r="T29" s="1"/>
    </row>
    <row r="30" spans="1:20">
      <c r="A30" s="74" t="s">
        <v>375</v>
      </c>
      <c r="B30" s="1" t="s">
        <v>376</v>
      </c>
      <c r="C30" s="74" t="s">
        <v>1140</v>
      </c>
      <c r="D30" t="s">
        <v>804</v>
      </c>
      <c r="H30" s="437"/>
      <c r="I30" s="437"/>
      <c r="J30" s="437"/>
      <c r="K30" s="438" t="s">
        <v>805</v>
      </c>
      <c r="L30" s="438" t="s">
        <v>806</v>
      </c>
      <c r="M30" s="438"/>
      <c r="N30" s="437" t="s">
        <v>939</v>
      </c>
      <c r="O30" s="1" t="s">
        <v>256</v>
      </c>
      <c r="P30" t="s">
        <v>369</v>
      </c>
      <c r="Q30" s="1" t="s">
        <v>258</v>
      </c>
      <c r="R30" s="76" t="s">
        <v>286</v>
      </c>
      <c r="S30" s="1" t="s">
        <v>287</v>
      </c>
      <c r="T30" s="1"/>
    </row>
    <row r="31" spans="1:20">
      <c r="A31" s="74" t="s">
        <v>922</v>
      </c>
      <c r="B31" s="1" t="s">
        <v>341</v>
      </c>
      <c r="C31" s="74" t="s">
        <v>1140</v>
      </c>
      <c r="D31" t="s">
        <v>807</v>
      </c>
      <c r="F31" t="s">
        <v>923</v>
      </c>
      <c r="G31" t="s">
        <v>924</v>
      </c>
      <c r="H31" s="437" t="s">
        <v>341</v>
      </c>
      <c r="I31" s="437"/>
      <c r="J31" s="437" t="s">
        <v>925</v>
      </c>
      <c r="K31" s="438" t="s">
        <v>808</v>
      </c>
      <c r="L31" s="438" t="s">
        <v>809</v>
      </c>
      <c r="M31" s="438"/>
      <c r="N31" s="437" t="s">
        <v>377</v>
      </c>
      <c r="O31" s="1" t="s">
        <v>1248</v>
      </c>
      <c r="P31" t="s">
        <v>379</v>
      </c>
      <c r="Q31" s="1" t="s">
        <v>258</v>
      </c>
      <c r="R31" s="76" t="s">
        <v>259</v>
      </c>
      <c r="S31" s="1" t="s">
        <v>260</v>
      </c>
      <c r="T31" s="1" t="s">
        <v>1254</v>
      </c>
    </row>
    <row r="32" spans="1:20">
      <c r="A32" s="74" t="s">
        <v>917</v>
      </c>
      <c r="B32" s="1" t="s">
        <v>341</v>
      </c>
      <c r="C32" s="74" t="s">
        <v>1140</v>
      </c>
      <c r="D32" t="s">
        <v>807</v>
      </c>
      <c r="F32" t="s">
        <v>918</v>
      </c>
      <c r="G32" t="s">
        <v>919</v>
      </c>
      <c r="H32" s="437" t="s">
        <v>341</v>
      </c>
      <c r="I32" s="437"/>
      <c r="J32" s="437" t="s">
        <v>920</v>
      </c>
      <c r="K32" s="438" t="s">
        <v>808</v>
      </c>
      <c r="L32" s="438" t="s">
        <v>809</v>
      </c>
      <c r="M32" s="438"/>
      <c r="N32" s="437" t="s">
        <v>377</v>
      </c>
      <c r="O32" s="1" t="s">
        <v>1248</v>
      </c>
      <c r="P32" t="s">
        <v>921</v>
      </c>
      <c r="Q32" s="1" t="s">
        <v>258</v>
      </c>
      <c r="R32" s="76" t="s">
        <v>259</v>
      </c>
      <c r="S32" s="1" t="s">
        <v>260</v>
      </c>
      <c r="T32" s="1" t="s">
        <v>1254</v>
      </c>
    </row>
    <row r="33" spans="1:20">
      <c r="A33" s="74" t="s">
        <v>949</v>
      </c>
      <c r="B33" s="1" t="s">
        <v>950</v>
      </c>
      <c r="H33" s="437"/>
      <c r="I33" s="437"/>
      <c r="J33" s="437"/>
      <c r="K33" s="438"/>
      <c r="L33" s="438"/>
      <c r="M33" s="438"/>
      <c r="N33" s="437"/>
      <c r="T33" s="1"/>
    </row>
    <row r="34" spans="1:20">
      <c r="A34" s="74" t="s">
        <v>380</v>
      </c>
      <c r="B34" s="1" t="s">
        <v>381</v>
      </c>
      <c r="C34" s="74" t="s">
        <v>355</v>
      </c>
      <c r="D34" t="s">
        <v>810</v>
      </c>
      <c r="H34" s="437"/>
      <c r="I34" s="437"/>
      <c r="J34" s="437"/>
      <c r="K34" s="438" t="s">
        <v>811</v>
      </c>
      <c r="L34" s="438" t="s">
        <v>812</v>
      </c>
      <c r="M34" s="438"/>
      <c r="N34" s="437" t="s">
        <v>813</v>
      </c>
      <c r="O34" s="1" t="s">
        <v>256</v>
      </c>
      <c r="P34" t="s">
        <v>814</v>
      </c>
      <c r="Q34" s="1" t="s">
        <v>258</v>
      </c>
      <c r="R34" s="76" t="s">
        <v>259</v>
      </c>
      <c r="S34" s="1" t="s">
        <v>260</v>
      </c>
      <c r="T34" s="1"/>
    </row>
    <row r="35" spans="1:20">
      <c r="A35" s="74" t="s">
        <v>855</v>
      </c>
      <c r="B35" s="1" t="s">
        <v>386</v>
      </c>
      <c r="D35" t="s">
        <v>1141</v>
      </c>
      <c r="E35" t="s">
        <v>1142</v>
      </c>
      <c r="F35" t="s">
        <v>1143</v>
      </c>
      <c r="G35" t="s">
        <v>1144</v>
      </c>
      <c r="H35" s="437" t="s">
        <v>1145</v>
      </c>
      <c r="I35" s="437"/>
      <c r="J35" s="437"/>
      <c r="K35" s="438"/>
      <c r="L35" s="438"/>
      <c r="M35" s="438"/>
      <c r="N35" s="437"/>
      <c r="T35" s="1"/>
    </row>
    <row r="36" spans="1:20">
      <c r="A36" s="74" t="s">
        <v>382</v>
      </c>
      <c r="B36" s="1" t="s">
        <v>362</v>
      </c>
      <c r="C36" s="74" t="s">
        <v>761</v>
      </c>
      <c r="H36" s="437"/>
      <c r="I36" s="437"/>
      <c r="J36" s="437"/>
      <c r="K36" s="438"/>
      <c r="L36" s="438"/>
      <c r="M36" s="438"/>
      <c r="N36" s="437"/>
      <c r="T36" s="1"/>
    </row>
    <row r="37" spans="1:20">
      <c r="A37" s="74" t="s">
        <v>383</v>
      </c>
      <c r="B37" s="1" t="s">
        <v>384</v>
      </c>
      <c r="C37" s="74" t="s">
        <v>761</v>
      </c>
      <c r="H37" s="437"/>
      <c r="I37" s="437"/>
      <c r="J37" s="437"/>
      <c r="K37" s="438"/>
      <c r="L37" s="438"/>
      <c r="M37" s="438"/>
      <c r="N37" s="437"/>
      <c r="T37" s="1"/>
    </row>
    <row r="38" spans="1:20">
      <c r="A38" s="74" t="s">
        <v>846</v>
      </c>
      <c r="B38" s="1" t="s">
        <v>847</v>
      </c>
      <c r="C38" s="74" t="s">
        <v>290</v>
      </c>
      <c r="D38" t="s">
        <v>850</v>
      </c>
      <c r="H38" s="437"/>
      <c r="I38" s="437"/>
      <c r="J38" s="437"/>
      <c r="K38" s="438"/>
      <c r="L38" s="438"/>
      <c r="M38" s="438"/>
      <c r="N38" s="437"/>
      <c r="T38" s="1"/>
    </row>
    <row r="39" spans="1:20">
      <c r="A39" s="74" t="s">
        <v>848</v>
      </c>
      <c r="B39" s="1" t="s">
        <v>849</v>
      </c>
      <c r="C39" s="74" t="s">
        <v>290</v>
      </c>
      <c r="D39" t="s">
        <v>850</v>
      </c>
      <c r="H39" s="437"/>
      <c r="I39" s="437"/>
      <c r="J39" s="437"/>
      <c r="K39" s="438"/>
      <c r="L39" s="438"/>
      <c r="M39" s="438"/>
      <c r="N39" s="437"/>
      <c r="T39" s="1"/>
    </row>
    <row r="40" spans="1:20">
      <c r="A40" s="74" t="s">
        <v>844</v>
      </c>
      <c r="B40" s="1" t="s">
        <v>845</v>
      </c>
      <c r="C40" s="74" t="s">
        <v>290</v>
      </c>
      <c r="D40" t="s">
        <v>850</v>
      </c>
      <c r="E40" t="s">
        <v>851</v>
      </c>
      <c r="F40" t="s">
        <v>852</v>
      </c>
      <c r="G40" t="s">
        <v>853</v>
      </c>
      <c r="H40" s="437" t="s">
        <v>854</v>
      </c>
      <c r="I40" s="437" t="s">
        <v>845</v>
      </c>
      <c r="J40" s="437"/>
      <c r="K40" s="438"/>
      <c r="L40" s="438"/>
      <c r="M40" s="438"/>
      <c r="N40" s="437"/>
      <c r="O40" s="1" t="s">
        <v>256</v>
      </c>
      <c r="P40" t="s">
        <v>369</v>
      </c>
      <c r="Q40" s="1" t="s">
        <v>285</v>
      </c>
      <c r="R40" s="76" t="s">
        <v>286</v>
      </c>
      <c r="S40" s="1" t="s">
        <v>287</v>
      </c>
      <c r="T40" s="1"/>
    </row>
    <row r="41" spans="1:20">
      <c r="A41" s="74" t="s">
        <v>385</v>
      </c>
      <c r="B41" s="1" t="s">
        <v>386</v>
      </c>
      <c r="C41" s="74" t="s">
        <v>355</v>
      </c>
      <c r="D41" t="s">
        <v>815</v>
      </c>
      <c r="H41" s="437"/>
      <c r="I41" s="437"/>
      <c r="J41" s="437"/>
      <c r="K41" s="438" t="s">
        <v>816</v>
      </c>
      <c r="L41" s="438" t="s">
        <v>817</v>
      </c>
      <c r="M41" s="438"/>
      <c r="N41" s="437" t="s">
        <v>818</v>
      </c>
      <c r="O41" s="1" t="s">
        <v>256</v>
      </c>
      <c r="P41" t="s">
        <v>369</v>
      </c>
      <c r="Q41" s="1" t="s">
        <v>258</v>
      </c>
      <c r="R41" s="76" t="s">
        <v>259</v>
      </c>
      <c r="S41" s="1" t="s">
        <v>260</v>
      </c>
      <c r="T41" s="1"/>
    </row>
    <row r="42" spans="1:20">
      <c r="A42" s="74" t="s">
        <v>387</v>
      </c>
      <c r="B42" s="1" t="s">
        <v>1157</v>
      </c>
      <c r="C42" s="74" t="s">
        <v>290</v>
      </c>
      <c r="D42" t="s">
        <v>819</v>
      </c>
      <c r="F42" t="s">
        <v>926</v>
      </c>
      <c r="G42" t="s">
        <v>927</v>
      </c>
      <c r="H42" s="437" t="s">
        <v>928</v>
      </c>
      <c r="I42" s="437"/>
      <c r="J42" s="437" t="s">
        <v>929</v>
      </c>
      <c r="K42" s="438" t="s">
        <v>1162</v>
      </c>
      <c r="L42" s="565" t="s">
        <v>1163</v>
      </c>
      <c r="M42" s="565" t="s">
        <v>1164</v>
      </c>
      <c r="N42" s="437" t="s">
        <v>820</v>
      </c>
      <c r="O42" s="1" t="s">
        <v>1248</v>
      </c>
      <c r="P42" t="s">
        <v>369</v>
      </c>
      <c r="Q42" s="1" t="s">
        <v>782</v>
      </c>
      <c r="R42" s="76" t="s">
        <v>286</v>
      </c>
      <c r="S42" s="1" t="s">
        <v>287</v>
      </c>
      <c r="T42" s="1"/>
    </row>
    <row r="43" spans="1:20">
      <c r="A43" s="74" t="s">
        <v>388</v>
      </c>
      <c r="B43" s="1" t="s">
        <v>374</v>
      </c>
      <c r="C43" s="74" t="s">
        <v>1140</v>
      </c>
      <c r="D43" t="s">
        <v>822</v>
      </c>
      <c r="F43" t="s">
        <v>823</v>
      </c>
      <c r="G43" t="s">
        <v>824</v>
      </c>
      <c r="H43" s="437"/>
      <c r="I43" s="437"/>
      <c r="J43" s="437" t="s">
        <v>930</v>
      </c>
      <c r="K43" s="438" t="s">
        <v>931</v>
      </c>
      <c r="L43" s="438" t="s">
        <v>932</v>
      </c>
      <c r="M43" s="438"/>
      <c r="N43" s="437" t="s">
        <v>389</v>
      </c>
      <c r="O43" s="1" t="s">
        <v>256</v>
      </c>
      <c r="P43" t="s">
        <v>369</v>
      </c>
      <c r="Q43" s="1" t="s">
        <v>258</v>
      </c>
      <c r="R43" s="76" t="s">
        <v>259</v>
      </c>
      <c r="S43" s="1" t="s">
        <v>260</v>
      </c>
      <c r="T43" s="1"/>
    </row>
    <row r="44" spans="1:20">
      <c r="A44" s="74" t="s">
        <v>390</v>
      </c>
      <c r="B44" s="1" t="s">
        <v>391</v>
      </c>
      <c r="C44" s="74" t="s">
        <v>1140</v>
      </c>
      <c r="D44" t="s">
        <v>825</v>
      </c>
      <c r="H44" s="437"/>
      <c r="I44" s="437"/>
      <c r="J44" s="437"/>
      <c r="K44" s="438" t="s">
        <v>826</v>
      </c>
      <c r="L44" s="438" t="s">
        <v>827</v>
      </c>
      <c r="M44" s="438" t="s">
        <v>828</v>
      </c>
      <c r="N44" s="437" t="s">
        <v>829</v>
      </c>
      <c r="O44" s="1" t="s">
        <v>256</v>
      </c>
      <c r="P44" t="s">
        <v>369</v>
      </c>
      <c r="Q44" s="1" t="s">
        <v>258</v>
      </c>
      <c r="R44" s="76" t="s">
        <v>259</v>
      </c>
      <c r="S44" s="1" t="s">
        <v>260</v>
      </c>
      <c r="T44" s="1"/>
    </row>
    <row r="45" spans="1:20">
      <c r="A45" s="74" t="s">
        <v>392</v>
      </c>
      <c r="B45" s="1" t="s">
        <v>393</v>
      </c>
      <c r="C45" s="74" t="s">
        <v>761</v>
      </c>
      <c r="H45" s="437"/>
      <c r="I45" s="437"/>
      <c r="J45" s="437"/>
      <c r="K45" s="438"/>
      <c r="L45" s="438"/>
      <c r="M45" s="438"/>
      <c r="N45" s="437"/>
      <c r="T45" s="1"/>
    </row>
    <row r="46" spans="1:20">
      <c r="A46" s="74" t="s">
        <v>394</v>
      </c>
      <c r="B46" s="1" t="s">
        <v>395</v>
      </c>
      <c r="C46" s="74" t="s">
        <v>290</v>
      </c>
      <c r="D46" t="s">
        <v>830</v>
      </c>
      <c r="E46" t="s">
        <v>831</v>
      </c>
      <c r="H46" s="437"/>
      <c r="I46" s="437"/>
      <c r="J46" s="437"/>
      <c r="K46" s="438" t="s">
        <v>832</v>
      </c>
      <c r="L46" s="438" t="s">
        <v>833</v>
      </c>
      <c r="M46" s="438"/>
      <c r="N46" s="437" t="s">
        <v>834</v>
      </c>
      <c r="O46" s="1" t="s">
        <v>835</v>
      </c>
      <c r="P46" t="s">
        <v>369</v>
      </c>
      <c r="Q46" s="1" t="s">
        <v>258</v>
      </c>
      <c r="R46" s="76" t="s">
        <v>286</v>
      </c>
      <c r="S46" s="1" t="s">
        <v>287</v>
      </c>
      <c r="T46" s="1"/>
    </row>
    <row r="47" spans="1:20">
      <c r="A47" s="74" t="s">
        <v>396</v>
      </c>
      <c r="B47" s="1" t="s">
        <v>397</v>
      </c>
      <c r="C47" s="74" t="s">
        <v>1140</v>
      </c>
      <c r="D47" t="s">
        <v>836</v>
      </c>
      <c r="H47" s="437"/>
      <c r="I47" s="437"/>
      <c r="J47" s="437"/>
      <c r="K47" s="438" t="s">
        <v>837</v>
      </c>
      <c r="L47" s="438" t="s">
        <v>838</v>
      </c>
      <c r="M47" s="438" t="s">
        <v>839</v>
      </c>
      <c r="N47" s="437" t="s">
        <v>840</v>
      </c>
      <c r="O47" s="1" t="s">
        <v>1248</v>
      </c>
      <c r="P47" t="s">
        <v>841</v>
      </c>
      <c r="Q47" s="1" t="s">
        <v>258</v>
      </c>
      <c r="R47" s="76" t="s">
        <v>259</v>
      </c>
      <c r="S47" s="1" t="s">
        <v>260</v>
      </c>
      <c r="T47" s="1"/>
    </row>
    <row r="48" spans="1:20">
      <c r="A48" s="74" t="s">
        <v>398</v>
      </c>
      <c r="B48" s="1" t="s">
        <v>399</v>
      </c>
      <c r="C48" s="74" t="s">
        <v>761</v>
      </c>
      <c r="H48" s="437"/>
      <c r="I48" s="437"/>
      <c r="J48" s="437"/>
      <c r="K48" s="438"/>
      <c r="L48" s="438"/>
      <c r="M48" s="438"/>
      <c r="N48" s="437"/>
      <c r="T48" s="1"/>
    </row>
    <row r="49" spans="1:20">
      <c r="A49" s="74" t="s">
        <v>400</v>
      </c>
      <c r="B49" s="1" t="s">
        <v>311</v>
      </c>
      <c r="C49" s="74" t="s">
        <v>761</v>
      </c>
      <c r="H49" s="437"/>
      <c r="I49" s="437"/>
      <c r="J49" s="437"/>
      <c r="K49" s="438"/>
      <c r="L49" s="438"/>
      <c r="M49" s="438"/>
      <c r="N49" s="437"/>
      <c r="T49" s="1"/>
    </row>
    <row r="50" spans="1:20">
      <c r="A50" s="74" t="s">
        <v>401</v>
      </c>
      <c r="B50" s="1" t="s">
        <v>402</v>
      </c>
      <c r="C50" s="74" t="s">
        <v>761</v>
      </c>
      <c r="H50" s="437"/>
      <c r="I50" s="437"/>
      <c r="J50" s="437"/>
      <c r="K50" s="438"/>
      <c r="L50" s="438"/>
      <c r="M50" s="438"/>
      <c r="N50" s="437"/>
      <c r="T50" s="1"/>
    </row>
    <row r="51" spans="1:20">
      <c r="A51" s="74" t="s">
        <v>403</v>
      </c>
      <c r="B51" s="1" t="s">
        <v>404</v>
      </c>
      <c r="C51" s="74" t="s">
        <v>761</v>
      </c>
      <c r="H51" s="437"/>
      <c r="I51" s="437"/>
      <c r="J51" s="437"/>
      <c r="K51" s="438"/>
      <c r="L51" s="438"/>
      <c r="M51" s="438"/>
      <c r="N51" s="437"/>
      <c r="T51" s="1"/>
    </row>
    <row r="52" spans="1:20">
      <c r="A52" s="74" t="s">
        <v>405</v>
      </c>
      <c r="B52" s="1" t="s">
        <v>406</v>
      </c>
      <c r="C52" s="74" t="s">
        <v>761</v>
      </c>
      <c r="H52" s="437"/>
      <c r="I52" s="437"/>
      <c r="J52" s="437"/>
      <c r="K52" s="438"/>
      <c r="L52" s="438"/>
      <c r="M52" s="438"/>
      <c r="N52" s="437"/>
      <c r="T52" s="1"/>
    </row>
    <row r="53" spans="1:20">
      <c r="H53" s="437"/>
      <c r="I53" s="437"/>
      <c r="J53" s="437"/>
      <c r="K53" s="438"/>
      <c r="L53" s="438"/>
      <c r="M53" s="438"/>
      <c r="N53" s="437"/>
      <c r="T53" s="1"/>
    </row>
    <row r="54" spans="1:20">
      <c r="H54" s="437"/>
      <c r="I54" s="437"/>
      <c r="J54" s="437"/>
      <c r="K54" s="438"/>
      <c r="L54" s="438"/>
      <c r="M54" s="438"/>
      <c r="N54" s="437"/>
      <c r="T54" s="1"/>
    </row>
    <row r="55" spans="1:20">
      <c r="H55" s="437"/>
      <c r="I55" s="437"/>
      <c r="J55" s="437"/>
      <c r="K55" s="438"/>
      <c r="L55" s="438"/>
      <c r="M55" s="438"/>
      <c r="N55" s="437"/>
      <c r="T55" s="1"/>
    </row>
    <row r="56" spans="1:20">
      <c r="I56" t="str">
        <f t="shared" ref="I56:O56" si="0">UPPER(I35)</f>
        <v/>
      </c>
      <c r="J56" t="str">
        <f t="shared" si="0"/>
        <v/>
      </c>
      <c r="K56" t="str">
        <f t="shared" si="0"/>
        <v/>
      </c>
      <c r="L56" t="str">
        <f t="shared" si="0"/>
        <v/>
      </c>
      <c r="M56" t="str">
        <f t="shared" si="0"/>
        <v/>
      </c>
      <c r="N56" t="str">
        <f t="shared" si="0"/>
        <v/>
      </c>
      <c r="O56" t="str">
        <f t="shared" si="0"/>
        <v/>
      </c>
      <c r="T56" s="1"/>
    </row>
    <row r="57" spans="1:20">
      <c r="H57" s="437"/>
      <c r="I57" s="437"/>
      <c r="J57" s="437"/>
      <c r="K57" s="438"/>
      <c r="L57" s="438"/>
      <c r="M57" s="438"/>
      <c r="N57" s="437"/>
      <c r="T57" s="1"/>
    </row>
    <row r="58" spans="1:20">
      <c r="H58" s="437"/>
      <c r="I58" s="437"/>
      <c r="J58" s="437"/>
      <c r="K58" s="438"/>
      <c r="L58" s="438"/>
      <c r="M58" s="438"/>
      <c r="N58" s="437"/>
      <c r="T58" s="1"/>
    </row>
    <row r="59" spans="1:20">
      <c r="H59" s="437"/>
      <c r="I59" s="437"/>
      <c r="J59" s="437"/>
      <c r="K59" s="438"/>
      <c r="L59" s="438"/>
      <c r="M59" s="438"/>
      <c r="N59" s="437"/>
      <c r="T59" s="1"/>
    </row>
    <row r="60" spans="1:20">
      <c r="H60" s="437"/>
      <c r="I60" s="437"/>
      <c r="J60" s="437"/>
      <c r="K60" s="438"/>
      <c r="L60" s="438"/>
      <c r="M60" s="438"/>
      <c r="N60" s="437"/>
      <c r="T60" s="1"/>
    </row>
    <row r="61" spans="1:20">
      <c r="H61" s="437"/>
      <c r="I61" s="437"/>
      <c r="J61" s="437"/>
      <c r="K61" s="438"/>
      <c r="L61" s="438"/>
      <c r="M61" s="438"/>
      <c r="N61" s="437"/>
      <c r="T61" s="1"/>
    </row>
    <row r="62" spans="1:20">
      <c r="H62" s="437"/>
      <c r="I62" s="437"/>
      <c r="J62" s="437"/>
      <c r="K62" s="438"/>
      <c r="L62" s="438"/>
      <c r="M62" s="438"/>
      <c r="N62" s="437"/>
      <c r="T62" s="1"/>
    </row>
    <row r="63" spans="1:20">
      <c r="H63" s="437"/>
      <c r="I63" s="437"/>
      <c r="J63" s="437"/>
      <c r="K63" s="438"/>
      <c r="L63" s="438"/>
      <c r="M63" s="438"/>
      <c r="N63" s="437"/>
      <c r="T63" s="1"/>
    </row>
    <row r="64" spans="1:20">
      <c r="H64" s="437"/>
      <c r="I64" s="437"/>
      <c r="J64" s="437"/>
      <c r="K64" s="438"/>
      <c r="L64" s="438"/>
      <c r="M64" s="438"/>
      <c r="N64" s="437"/>
      <c r="T64" s="1"/>
    </row>
    <row r="65" spans="3:20">
      <c r="H65" s="437"/>
      <c r="I65" s="437"/>
      <c r="J65" s="437"/>
      <c r="K65" s="438"/>
      <c r="L65" s="438"/>
      <c r="M65" s="438"/>
      <c r="N65" s="437"/>
      <c r="T65" s="1"/>
    </row>
    <row r="66" spans="3:20">
      <c r="H66" s="437"/>
      <c r="I66" s="437"/>
      <c r="J66" s="437"/>
      <c r="K66" s="438"/>
      <c r="L66" s="438"/>
      <c r="M66" s="438"/>
      <c r="N66" s="437"/>
      <c r="T66" s="1"/>
    </row>
    <row r="67" spans="3:20">
      <c r="H67" s="437"/>
      <c r="I67" s="437"/>
      <c r="J67" s="437"/>
      <c r="K67" s="438"/>
      <c r="L67" s="438"/>
      <c r="M67" s="438"/>
      <c r="N67" s="437"/>
      <c r="T67" s="1"/>
    </row>
    <row r="68" spans="3:20">
      <c r="H68" s="437"/>
      <c r="I68" s="437"/>
      <c r="J68" s="437"/>
      <c r="K68" s="438"/>
      <c r="L68" s="438"/>
      <c r="M68" s="438"/>
      <c r="N68" s="437"/>
      <c r="T68" s="1"/>
    </row>
    <row r="69" spans="3:20">
      <c r="H69" s="437"/>
      <c r="I69" s="437"/>
      <c r="J69" s="437"/>
      <c r="K69" s="438"/>
      <c r="L69" s="438"/>
      <c r="M69" s="438"/>
      <c r="N69" s="437"/>
      <c r="T69" s="1"/>
    </row>
    <row r="70" spans="3:20">
      <c r="H70" s="437"/>
      <c r="I70" s="437"/>
      <c r="J70" s="437"/>
      <c r="K70" s="438"/>
      <c r="L70" s="438"/>
      <c r="M70" s="438"/>
      <c r="N70" s="437"/>
      <c r="T70" s="1"/>
    </row>
    <row r="71" spans="3:20">
      <c r="H71" s="437"/>
      <c r="I71" s="437"/>
      <c r="J71" s="437"/>
      <c r="K71" s="438"/>
      <c r="L71" s="438"/>
      <c r="M71" s="438"/>
      <c r="N71" s="437"/>
      <c r="T71" s="1"/>
    </row>
    <row r="72" spans="3:20">
      <c r="H72" s="437"/>
      <c r="I72" s="437"/>
      <c r="J72" s="437"/>
      <c r="K72" s="438"/>
      <c r="L72" s="438"/>
      <c r="M72" s="438"/>
      <c r="N72" s="437"/>
      <c r="T72" s="1"/>
    </row>
    <row r="73" spans="3:20">
      <c r="C73" s="74" t="s">
        <v>290</v>
      </c>
      <c r="H73" s="437"/>
      <c r="I73" s="437"/>
      <c r="J73" s="437"/>
      <c r="K73" s="438"/>
      <c r="L73" s="438"/>
      <c r="M73" s="438"/>
      <c r="N73" s="437"/>
      <c r="T73" s="1"/>
    </row>
    <row r="74" spans="3:20">
      <c r="C74" s="74" t="s">
        <v>355</v>
      </c>
      <c r="H74" s="437"/>
      <c r="I74" s="437"/>
      <c r="J74" s="437"/>
      <c r="K74" s="438"/>
      <c r="L74" s="438"/>
      <c r="M74" s="438"/>
      <c r="N74" s="437"/>
      <c r="T7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4"/>
  <dimension ref="A3:R36"/>
  <sheetViews>
    <sheetView workbookViewId="0">
      <selection activeCell="I46" sqref="I46"/>
    </sheetView>
  </sheetViews>
  <sheetFormatPr defaultRowHeight="15"/>
  <cols>
    <col min="2" max="2" width="13.140625" customWidth="1"/>
    <col min="3" max="10" width="14.42578125" customWidth="1"/>
    <col min="11" max="14" width="14.85546875" customWidth="1"/>
    <col min="15" max="15" width="10.28515625" style="17" bestFit="1" customWidth="1"/>
  </cols>
  <sheetData>
    <row r="3" spans="1:18">
      <c r="B3" s="19" t="s">
        <v>407</v>
      </c>
      <c r="C3" s="332" t="s">
        <v>74</v>
      </c>
      <c r="D3" s="332" t="s">
        <v>128</v>
      </c>
      <c r="E3" s="332" t="s">
        <v>145</v>
      </c>
      <c r="F3" s="332" t="s">
        <v>37</v>
      </c>
      <c r="G3" s="332" t="s">
        <v>189</v>
      </c>
      <c r="H3" s="14"/>
      <c r="I3" s="14"/>
      <c r="J3" s="14"/>
      <c r="K3" s="332" t="s">
        <v>170</v>
      </c>
      <c r="L3" s="332" t="s">
        <v>37</v>
      </c>
      <c r="M3" s="14"/>
      <c r="N3" s="14"/>
    </row>
    <row r="4" spans="1:18">
      <c r="B4" s="19"/>
      <c r="C4" s="687" t="s">
        <v>409</v>
      </c>
      <c r="D4" s="688"/>
      <c r="E4" s="688"/>
      <c r="F4" s="689"/>
      <c r="G4" s="687" t="s">
        <v>408</v>
      </c>
      <c r="H4" s="688"/>
      <c r="I4" s="688"/>
      <c r="J4" s="689"/>
      <c r="K4" s="687" t="s">
        <v>410</v>
      </c>
      <c r="L4" s="688"/>
      <c r="M4" s="688"/>
      <c r="N4" s="689"/>
    </row>
    <row r="5" spans="1:18">
      <c r="B5" s="19"/>
      <c r="C5" s="13" t="s">
        <v>411</v>
      </c>
      <c r="D5" s="14" t="s">
        <v>412</v>
      </c>
      <c r="E5" s="14" t="s">
        <v>413</v>
      </c>
      <c r="F5" s="15"/>
      <c r="G5" s="13" t="s">
        <v>411</v>
      </c>
      <c r="H5" s="14" t="s">
        <v>412</v>
      </c>
      <c r="I5" s="14" t="s">
        <v>413</v>
      </c>
      <c r="J5" s="15"/>
      <c r="K5" s="13" t="s">
        <v>411</v>
      </c>
      <c r="L5" s="14" t="s">
        <v>412</v>
      </c>
      <c r="M5" s="14" t="s">
        <v>413</v>
      </c>
      <c r="N5" s="15"/>
    </row>
    <row r="6" spans="1:18">
      <c r="B6" s="19" t="s">
        <v>414</v>
      </c>
      <c r="C6" s="84">
        <f ca="1">IFERROR(SUMIF(productsCategory,C3,productsCartons)+SUMIF(productsCategory,D3,productsCartons)+SUMIF(productsCategory,E3,productsCartons)+SUMIF(productsCategory,F3,productsCartons),0)</f>
        <v>30</v>
      </c>
      <c r="D6" s="83">
        <f ca="1">IFERROR(SUMIF(productsCategory,C3,productsFocCartons)+SUMIF(productsCategory,D3,productsFocCartons)+SUMIF(productsCategory,E3,productsFocCartons)+SUMIF(productsCategory,F3,productsFocCartons),0)</f>
        <v>0</v>
      </c>
      <c r="E6" s="110">
        <f ca="1">C6+D6</f>
        <v>30</v>
      </c>
      <c r="F6" s="16"/>
      <c r="G6" s="84">
        <f ca="1">IFERROR(SUMIF(productsCategory,G3,productsCartons),0)</f>
        <v>0</v>
      </c>
      <c r="H6" s="83">
        <f ca="1">IFERROR(SUMIF(productsCategory,G3,productsFocCartons),0)</f>
        <v>0</v>
      </c>
      <c r="I6" s="110">
        <f ca="1">G6+H6</f>
        <v>0</v>
      </c>
      <c r="J6" s="16"/>
      <c r="K6" s="84">
        <f ca="1">IFERROR(SUMIF(productsCategory,K3,productsCartons)+SUMIF(productsCategory,L3,productsCartons),0)</f>
        <v>0</v>
      </c>
      <c r="L6" s="83">
        <f ca="1">IFERROR(SUMIF(productsCategory,K3,productsFocCartons)+SUMIF(productsCategory,L3,productsFocCartons),0)</f>
        <v>0</v>
      </c>
      <c r="M6" s="110">
        <f ca="1">K6+L6</f>
        <v>0</v>
      </c>
      <c r="N6" s="16"/>
    </row>
    <row r="7" spans="1:18">
      <c r="B7" s="2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</row>
    <row r="8" spans="1:18">
      <c r="B8" s="2"/>
      <c r="C8" s="690" t="s">
        <v>409</v>
      </c>
      <c r="D8" s="691"/>
      <c r="E8" s="691"/>
      <c r="F8" s="692"/>
      <c r="G8" s="690" t="s">
        <v>408</v>
      </c>
      <c r="H8" s="691"/>
      <c r="I8" s="691"/>
      <c r="J8" s="692"/>
      <c r="K8" s="690" t="s">
        <v>410</v>
      </c>
      <c r="L8" s="691"/>
      <c r="M8" s="691"/>
      <c r="N8" s="692"/>
    </row>
    <row r="9" spans="1:18">
      <c r="A9" t="str">
        <f>IFERROR(INDEX(bhpc_data[size12], MATCH(0, COUNTIF($AM$2:AM2, bhpc_data[[#This Row],[size12]]&amp;"") + IF(bhpc_data[[#This Row],[size12]]="",1,0), 0)), "")</f>
        <v/>
      </c>
      <c r="B9" s="103" t="s">
        <v>415</v>
      </c>
      <c r="C9" s="3" t="s">
        <v>416</v>
      </c>
      <c r="D9" s="4" t="s">
        <v>417</v>
      </c>
      <c r="E9" s="4" t="s">
        <v>418</v>
      </c>
      <c r="F9" s="5" t="s">
        <v>419</v>
      </c>
      <c r="G9" s="3" t="s">
        <v>416</v>
      </c>
      <c r="H9" s="4" t="s">
        <v>417</v>
      </c>
      <c r="I9" s="4" t="s">
        <v>418</v>
      </c>
      <c r="J9" s="5" t="s">
        <v>419</v>
      </c>
      <c r="K9" s="3" t="s">
        <v>416</v>
      </c>
      <c r="L9" s="4" t="s">
        <v>417</v>
      </c>
      <c r="M9" s="4" t="s">
        <v>418</v>
      </c>
      <c r="N9" s="5" t="s">
        <v>419</v>
      </c>
      <c r="O9" s="18" t="s">
        <v>420</v>
      </c>
      <c r="Q9" s="1"/>
      <c r="R9" s="1"/>
    </row>
    <row r="10" spans="1:18">
      <c r="B10" s="103">
        <v>50</v>
      </c>
      <c r="C10" s="104">
        <f>SUMIFS(bhpc_data[tot_order],bhpc_data[size12],$B10,bhpc_data[category],$D$3)+SUMIFS(bhpc_data[tot_order],bhpc_data[size12],$B10,bhpc_data[category],$E$3)+SUMIFS(bhpc_data[tot_order],bhpc_data[size12],$B10,bhpc_data[category],$C$3)+SUMIFS(bhpc_data[tot_order],bhpc_data[size12],$B10,bhpc_data[category],$F$3)</f>
        <v>0</v>
      </c>
      <c r="D10" s="105">
        <f>SUMIFS(bhpc_data[unit_net_weight],bhpc_data[size12],$B10,bhpc_data[category],$D$3)+SUMIFS(bhpc_data[unit_net_weight],bhpc_data[size12],$B10,bhpc_data[category],$E$3)+SUMIFS(bhpc_data[unit_net_weight],bhpc_data[size12],$B10,bhpc_data[category],$C$3)+SUMIFS(bhpc_data[unit_net_weight],bhpc_data[size12],$B10,bhpc_data[category],$F$3)</f>
        <v>0</v>
      </c>
      <c r="E10" s="105">
        <f>SUMIFS(bhpc_data[unit_gross_weight],bhpc_data[size12],$B10,bhpc_data[category],$D$3)+SUMIFS(bhpc_data[unit_gross_weight],bhpc_data[size12],$B10,bhpc_data[category],$E$3)+SUMIFS(bhpc_data[unit_gross_weight],bhpc_data[size12],$B10,bhpc_data[category],$C$3)+SUMIFS(bhpc_data[unit_gross_weight],bhpc_data[size12],$B10,bhpc_data[category],$F$3)</f>
        <v>0</v>
      </c>
      <c r="F10" s="106">
        <f>SUMIFS(bhpc_data[cbm],bhpc_data[size12],$B10,bhpc_data[category],$D$3)+SUMIFS(bhpc_data[cbm],bhpc_data[size12],$B10,bhpc_data[category],$E$3)+SUMIFS(bhpc_data[cbm],bhpc_data[size12],$B10,bhpc_data[category],$C$3)+SUMIFS(bhpc_data[cbm],bhpc_data[size12],$B10,bhpc_data[category],$F$3)</f>
        <v>0</v>
      </c>
      <c r="G10" s="86">
        <f>SUMIFS(bhpc_data[tot_order],bhpc_data[size12],$B10,bhpc_data[category],$G$3)</f>
        <v>0</v>
      </c>
      <c r="H10" s="87">
        <f>SUMIFS(bhpc_data[unit_net_weight],bhpc_data[size12],$B10,bhpc_data[category],$G$3)</f>
        <v>0</v>
      </c>
      <c r="I10" s="87">
        <f>SUMIFS(bhpc_data[unit_gross_weight],bhpc_data[size12],$B10,bhpc_data[category],$G$3)</f>
        <v>0</v>
      </c>
      <c r="J10" s="88">
        <f>SUMIFS(bhpc_data[cbm],bhpc_data[size12],$B10,bhpc_data[category],$G$3)</f>
        <v>0</v>
      </c>
      <c r="K10" s="87">
        <f>SUMIFS(bhpc_data[tot_order],bhpc_data[size12],$B10,bhpc_data[category],$K$3)+SUMIFS(bhpc_data[tot_order],bhpc_data[size22],$B10,bhpc_data[category],$L$3)</f>
        <v>0</v>
      </c>
      <c r="L10" s="87">
        <f>SUMIFS(bhpc_data[unit_net_weight],bhpc_data[size12],$B10,bhpc_data[category],$K$3)+SUMIFS(bhpc_data[unit_net_weight2],bhpc_data[size22],$B10,bhpc_data[category],$L$3)</f>
        <v>0</v>
      </c>
      <c r="M10" s="87">
        <f>SUMIFS(bhpc_data[unit_gross_weight],bhpc_data[size12],$B10,bhpc_data[category],$K$3)+SUMIFS(bhpc_data[unit_gross_weight2],bhpc_data[size22],$B10,bhpc_data[category],$L$3)</f>
        <v>0</v>
      </c>
      <c r="N10" s="88">
        <f>SUMIFS(bhpc_data[cbm],bhpc_data[size12],$B10,bhpc_data[category],$K$3)+SUMIFS(bhpc_data[cbm2],bhpc_data[size22],$B10,bhpc_data[category],$L$3)</f>
        <v>0</v>
      </c>
      <c r="O10" s="85">
        <f>C10+G10+K10</f>
        <v>0</v>
      </c>
    </row>
    <row r="11" spans="1:18">
      <c r="B11" s="103">
        <v>100</v>
      </c>
      <c r="C11" s="107">
        <f>SUMIFS(bhpc_data[tot_order],bhpc_data[size12],$B11,bhpc_data[category],$D$3)+SUMIFS(bhpc_data[tot_order],bhpc_data[size12],$B11,bhpc_data[category],$E$3)+SUMIFS(bhpc_data[tot_order],bhpc_data[size12],$B11,bhpc_data[category],$C$3)+SUMIFS(bhpc_data[tot_order],bhpc_data[size12],$B11,bhpc_data[category],$F$3)</f>
        <v>720</v>
      </c>
      <c r="D11" s="108">
        <f>SUMIFS(bhpc_data[unit_net_weight],bhpc_data[size12],$B11,bhpc_data[category],$D$3)+SUMIFS(bhpc_data[unit_net_weight],bhpc_data[size12],$B11,bhpc_data[category],$E$3)+SUMIFS(bhpc_data[unit_net_weight],bhpc_data[size12],$B11,bhpc_data[category],$C$3)+SUMIFS(bhpc_data[unit_net_weight],bhpc_data[size12],$B11,bhpc_data[category],$F$3)</f>
        <v>284.40000000000003</v>
      </c>
      <c r="E11" s="108">
        <f>SUMIFS(bhpc_data[unit_gross_weight],bhpc_data[size12],$B11,bhpc_data[category],$D$3)+SUMIFS(bhpc_data[unit_gross_weight],bhpc_data[size12],$B11,bhpc_data[category],$E$3)+SUMIFS(bhpc_data[unit_gross_weight],bhpc_data[size12],$B11,bhpc_data[category],$C$3)+SUMIFS(bhpc_data[unit_gross_weight],bhpc_data[size12],$B11,bhpc_data[category],$F$3)</f>
        <v>297</v>
      </c>
      <c r="F11" s="109">
        <f>SUMIFS(bhpc_data[cbm],bhpc_data[size12],$B11,bhpc_data[category],$D$3)+SUMIFS(bhpc_data[cbm],bhpc_data[size12],$B11,bhpc_data[category],$E$3)+SUMIFS(bhpc_data[cbm],bhpc_data[size12],$B11,bhpc_data[category],$C$3)+SUMIFS(bhpc_data[cbm],bhpc_data[size12],$B11,bhpc_data[category],$F$3)</f>
        <v>0.51892499999999997</v>
      </c>
      <c r="G11" s="11">
        <f>SUMIFS(bhpc_data[tot_order],bhpc_data[size12],$B11,bhpc_data[category],$G$3)</f>
        <v>0</v>
      </c>
      <c r="H11" s="7">
        <f>SUMIFS(bhpc_data[unit_net_weight],bhpc_data[size12],$B11,bhpc_data[category],$G$3)</f>
        <v>0</v>
      </c>
      <c r="I11" s="7">
        <f>SUMIFS(bhpc_data[unit_gross_weight],bhpc_data[size12],$B11,bhpc_data[category],$G$3)</f>
        <v>0</v>
      </c>
      <c r="J11" s="9">
        <f>SUMIFS(bhpc_data[cbm],bhpc_data[size12],$B11,bhpc_data[category],$G$3)</f>
        <v>0</v>
      </c>
      <c r="K11" s="7">
        <f>SUMIFS(bhpc_data[tot_order],bhpc_data[size12],$B11,bhpc_data[category],$K$3)+SUMIFS(bhpc_data[tot_order],bhpc_data[size22],$B11,bhpc_data[category],$L$3)</f>
        <v>0</v>
      </c>
      <c r="L11" s="7">
        <f>SUMIFS(bhpc_data[unit_net_weight],bhpc_data[size12],$B11,bhpc_data[category],$K$3)+SUMIFS(bhpc_data[unit_net_weight2],bhpc_data[size22],$B11,bhpc_data[category],$L$3)</f>
        <v>0</v>
      </c>
      <c r="M11" s="7">
        <f>SUMIFS(bhpc_data[unit_gross_weight],bhpc_data[size12],$B11,bhpc_data[category],$K$3)+SUMIFS(bhpc_data[unit_gross_weight2],bhpc_data[size22],$B11,bhpc_data[category],$L$3)</f>
        <v>0</v>
      </c>
      <c r="N11" s="9">
        <f>SUMIFS(bhpc_data[cbm],bhpc_data[size12],$B11,bhpc_data[category],$K$3)+SUMIFS(bhpc_data[cbm2],bhpc_data[size22],$B11,bhpc_data[category],$L$3)</f>
        <v>0</v>
      </c>
      <c r="O11" s="85">
        <f t="shared" ref="O11:O25" si="0">C11+G11+K11</f>
        <v>720</v>
      </c>
    </row>
    <row r="12" spans="1:18">
      <c r="B12" s="103">
        <v>150</v>
      </c>
      <c r="C12" s="11">
        <f>SUMIFS(bhpc_data[tot_order],bhpc_data[size12],$B12,bhpc_data[category],$D$3)+SUMIFS(bhpc_data[tot_order],bhpc_data[size12],$B12,bhpc_data[category],$E$3)+SUMIFS(bhpc_data[tot_order],bhpc_data[size12],$B12,bhpc_data[category],$C$3)+SUMIFS(bhpc_data[tot_order],bhpc_data[size12],$B12,bhpc_data[category],$F$3)</f>
        <v>0</v>
      </c>
      <c r="D12" s="7">
        <f>SUMIFS(bhpc_data[unit_net_weight],bhpc_data[size12],$B12,bhpc_data[category],$D$3)+SUMIFS(bhpc_data[unit_net_weight],bhpc_data[size12],$B12,bhpc_data[category],$E$3)+SUMIFS(bhpc_data[unit_net_weight],bhpc_data[size12],$B12,bhpc_data[category],$C$3)+SUMIFS(bhpc_data[unit_net_weight],bhpc_data[size12],$B12,bhpc_data[category],$F$3)</f>
        <v>0</v>
      </c>
      <c r="E12" s="7">
        <f>SUMIFS(bhpc_data[unit_gross_weight],bhpc_data[size12],$B12,bhpc_data[category],$D$3)+SUMIFS(bhpc_data[unit_gross_weight],bhpc_data[size12],$B12,bhpc_data[category],$E$3)+SUMIFS(bhpc_data[unit_gross_weight],bhpc_data[size12],$B12,bhpc_data[category],$C$3)+SUMIFS(bhpc_data[unit_gross_weight],bhpc_data[size12],$B12,bhpc_data[category],$F$3)</f>
        <v>0</v>
      </c>
      <c r="F12" s="9">
        <f>SUMIFS(bhpc_data[cbm],bhpc_data[size12],$B12,bhpc_data[category],$D$3)+SUMIFS(bhpc_data[cbm],bhpc_data[size12],$B12,bhpc_data[category],$E$3)+SUMIFS(bhpc_data[cbm],bhpc_data[size12],$B12,bhpc_data[category],$C$3)+SUMIFS(bhpc_data[cbm],bhpc_data[size12],$B12,bhpc_data[category],$F$3)</f>
        <v>0</v>
      </c>
      <c r="G12" s="11">
        <f>SUMIFS(bhpc_data[tot_order],bhpc_data[size12],$B12,bhpc_data[category],$G$3)</f>
        <v>0</v>
      </c>
      <c r="H12" s="7">
        <f>SUMIFS(bhpc_data[unit_net_weight],bhpc_data[size12],$B12,bhpc_data[category],$G$3)</f>
        <v>0</v>
      </c>
      <c r="I12" s="7">
        <f>SUMIFS(bhpc_data[unit_gross_weight],bhpc_data[size12],$B12,bhpc_data[category],$G$3)</f>
        <v>0</v>
      </c>
      <c r="J12" s="9">
        <f>SUMIFS(bhpc_data[cbm],bhpc_data[size12],$B12,bhpc_data[category],$G$3)</f>
        <v>0</v>
      </c>
      <c r="K12" s="108">
        <f>SUMIFS(bhpc_data[tot_order],bhpc_data[size12],$B12,bhpc_data[category],$K$3)+SUMIFS(bhpc_data[tot_order],bhpc_data[size22],$B12,bhpc_data[category],$L$3)</f>
        <v>0</v>
      </c>
      <c r="L12" s="108">
        <f>SUMIFS(bhpc_data[unit_net_weight],bhpc_data[size12],$B12,bhpc_data[category],$K$3)+SUMIFS(bhpc_data[unit_net_weight2],bhpc_data[size22],$B12,bhpc_data[category],$L$3)</f>
        <v>0</v>
      </c>
      <c r="M12" s="108">
        <f>SUMIFS(bhpc_data[unit_gross_weight],bhpc_data[size12],$B12,bhpc_data[category],$K$3)+SUMIFS(bhpc_data[unit_gross_weight2],bhpc_data[size22],$B12,bhpc_data[category],$L$3)</f>
        <v>0</v>
      </c>
      <c r="N12" s="109">
        <f>SUMIFS(bhpc_data[cbm],bhpc_data[size12],$B12,bhpc_data[category],$K$3)+SUMIFS(bhpc_data[cbm2],bhpc_data[size22],$B12,bhpc_data[category],$L$3)</f>
        <v>0</v>
      </c>
      <c r="O12" s="85">
        <f t="shared" si="0"/>
        <v>0</v>
      </c>
    </row>
    <row r="13" spans="1:18">
      <c r="B13" s="103">
        <v>175</v>
      </c>
      <c r="C13" s="11">
        <f>SUMIFS(bhpc_data[tot_order],bhpc_data[size12],$B13,bhpc_data[category],$D$3)+SUMIFS(bhpc_data[tot_order],bhpc_data[size12],$B13,bhpc_data[category],$E$3)+SUMIFS(bhpc_data[tot_order],bhpc_data[size12],$B13,bhpc_data[category],$C$3)+SUMIFS(bhpc_data[tot_order],bhpc_data[size12],$B13,bhpc_data[category],$F$3)</f>
        <v>0</v>
      </c>
      <c r="D13" s="7">
        <f>SUMIFS(bhpc_data[unit_net_weight],bhpc_data[size12],$B13,bhpc_data[category],$D$3)+SUMIFS(bhpc_data[unit_net_weight],bhpc_data[size12],$B13,bhpc_data[category],$E$3)+SUMIFS(bhpc_data[unit_net_weight],bhpc_data[size12],$B13,bhpc_data[category],$C$3)+SUMIFS(bhpc_data[unit_net_weight],bhpc_data[size12],$B13,bhpc_data[category],$F$3)</f>
        <v>0</v>
      </c>
      <c r="E13" s="7">
        <f>SUMIFS(bhpc_data[unit_gross_weight],bhpc_data[size12],$B13,bhpc_data[category],$D$3)+SUMIFS(bhpc_data[unit_gross_weight],bhpc_data[size12],$B13,bhpc_data[category],$E$3)+SUMIFS(bhpc_data[unit_gross_weight],bhpc_data[size12],$B13,bhpc_data[category],$C$3)+SUMIFS(bhpc_data[unit_gross_weight],bhpc_data[size12],$B13,bhpc_data[category],$F$3)</f>
        <v>0</v>
      </c>
      <c r="F13" s="9">
        <f>SUMIFS(bhpc_data[cbm],bhpc_data[size12],$B13,bhpc_data[category],$D$3)+SUMIFS(bhpc_data[cbm],bhpc_data[size12],$B13,bhpc_data[category],$E$3)+SUMIFS(bhpc_data[cbm],bhpc_data[size12],$B13,bhpc_data[category],$C$3)+SUMIFS(bhpc_data[cbm],bhpc_data[size12],$B13,bhpc_data[category],$F$3)</f>
        <v>0</v>
      </c>
      <c r="G13" s="11">
        <f>SUMIFS(bhpc_data[tot_order],bhpc_data[size12],$B13,bhpc_data[category],$G$3)</f>
        <v>0</v>
      </c>
      <c r="H13" s="7">
        <f>SUMIFS(bhpc_data[unit_net_weight],bhpc_data[size12],$B13,bhpc_data[category],$G$3)</f>
        <v>0</v>
      </c>
      <c r="I13" s="7">
        <f>SUMIFS(bhpc_data[unit_gross_weight],bhpc_data[size12],$B13,bhpc_data[category],$G$3)</f>
        <v>0</v>
      </c>
      <c r="J13" s="9">
        <f>SUMIFS(bhpc_data[cbm],bhpc_data[size12],$B13,bhpc_data[category],$G$3)</f>
        <v>0</v>
      </c>
      <c r="K13" s="108">
        <f>SUMIFS(bhpc_data[tot_order],bhpc_data[size12],$B13,bhpc_data[category],$K$3)+SUMIFS(bhpc_data[tot_order],bhpc_data[size22],$B13,bhpc_data[category],$L$3)</f>
        <v>0</v>
      </c>
      <c r="L13" s="108">
        <f>SUMIFS(bhpc_data[unit_net_weight],bhpc_data[size12],$B13,bhpc_data[category],$K$3)+SUMIFS(bhpc_data[unit_net_weight2],bhpc_data[size22],$B13,bhpc_data[category],$L$3)</f>
        <v>0</v>
      </c>
      <c r="M13" s="108">
        <f>SUMIFS(bhpc_data[unit_gross_weight],bhpc_data[size12],$B13,bhpc_data[category],$K$3)+SUMIFS(bhpc_data[unit_gross_weight2],bhpc_data[size22],$B13,bhpc_data[category],$L$3)</f>
        <v>0</v>
      </c>
      <c r="N13" s="109">
        <f>SUMIFS(bhpc_data[cbm],bhpc_data[size12],$B13,bhpc_data[category],$K$3)+SUMIFS(bhpc_data[cbm2],bhpc_data[size22],$B13,bhpc_data[category],$L$3)</f>
        <v>0</v>
      </c>
      <c r="O13" s="85">
        <f t="shared" si="0"/>
        <v>0</v>
      </c>
    </row>
    <row r="14" spans="1:18">
      <c r="B14" s="103">
        <v>200</v>
      </c>
      <c r="C14" s="11">
        <f>SUMIFS(bhpc_data[tot_order],bhpc_data[size12],$B14,bhpc_data[category],$D$3)+SUMIFS(bhpc_data[tot_order],bhpc_data[size12],$B14,bhpc_data[category],$E$3)+SUMIFS(bhpc_data[tot_order],bhpc_data[size12],$B14,bhpc_data[category],$C$3)+SUMIFS(bhpc_data[tot_order],bhpc_data[size12],$B14,bhpc_data[category],$F$3)</f>
        <v>0</v>
      </c>
      <c r="D14" s="7">
        <f>SUMIFS(bhpc_data[unit_net_weight],bhpc_data[size12],$B14,bhpc_data[category],$D$3)+SUMIFS(bhpc_data[unit_net_weight],bhpc_data[size12],$B14,bhpc_data[category],$E$3)+SUMIFS(bhpc_data[unit_net_weight],bhpc_data[size12],$B14,bhpc_data[category],$C$3)+SUMIFS(bhpc_data[unit_net_weight],bhpc_data[size12],$B14,bhpc_data[category],$F$3)</f>
        <v>0</v>
      </c>
      <c r="E14" s="7">
        <f>SUMIFS(bhpc_data[unit_gross_weight],bhpc_data[size12],$B14,bhpc_data[category],$D$3)+SUMIFS(bhpc_data[unit_gross_weight],bhpc_data[size12],$B14,bhpc_data[category],$E$3)+SUMIFS(bhpc_data[unit_gross_weight],bhpc_data[size12],$B14,bhpc_data[category],$C$3)+SUMIFS(bhpc_data[unit_gross_weight],bhpc_data[size12],$B14,bhpc_data[category],$F$3)</f>
        <v>0</v>
      </c>
      <c r="F14" s="9">
        <f>SUMIFS(bhpc_data[cbm],bhpc_data[size12],$B14,bhpc_data[category],$D$3)+SUMIFS(bhpc_data[cbm],bhpc_data[size12],$B14,bhpc_data[category],$E$3)+SUMIFS(bhpc_data[cbm],bhpc_data[size12],$B14,bhpc_data[category],$C$3)+SUMIFS(bhpc_data[cbm],bhpc_data[size12],$B14,bhpc_data[category],$F$3)</f>
        <v>0</v>
      </c>
      <c r="G14" s="107">
        <f>SUMIFS(bhpc_data[tot_order],bhpc_data[size12],$B14,bhpc_data[category],$G$3)</f>
        <v>0</v>
      </c>
      <c r="H14" s="108">
        <f>SUMIFS(bhpc_data[unit_net_weight],bhpc_data[size12],$B14,bhpc_data[category],$G$3)</f>
        <v>0</v>
      </c>
      <c r="I14" s="108">
        <f>SUMIFS(bhpc_data[unit_gross_weight],bhpc_data[size12],$B14,bhpc_data[category],$G$3)</f>
        <v>0</v>
      </c>
      <c r="J14" s="109">
        <f>SUMIFS(bhpc_data[cbm],bhpc_data[size12],$B14,bhpc_data[category],$G$3)</f>
        <v>0</v>
      </c>
      <c r="K14" s="7">
        <f>SUMIFS(bhpc_data[tot_order],bhpc_data[size12],$B14,bhpc_data[category],$K$3)+SUMIFS(bhpc_data[tot_order],bhpc_data[size22],$B14,bhpc_data[category],$L$3)</f>
        <v>0</v>
      </c>
      <c r="L14" s="7">
        <f>SUMIFS(bhpc_data[unit_net_weight],bhpc_data[size12],$B14,bhpc_data[category],$K$3)+SUMIFS(bhpc_data[unit_net_weight2],bhpc_data[size22],$B14,bhpc_data[category],$L$3)</f>
        <v>0</v>
      </c>
      <c r="M14" s="7">
        <f>SUMIFS(bhpc_data[unit_gross_weight],bhpc_data[size12],$B14,bhpc_data[category],$K$3)+SUMIFS(bhpc_data[unit_gross_weight2],bhpc_data[size22],$B14,bhpc_data[category],$L$3)</f>
        <v>0</v>
      </c>
      <c r="N14" s="9">
        <f>SUMIFS(bhpc_data[cbm],bhpc_data[size12],$B14,bhpc_data[category],$K$3)+SUMIFS(bhpc_data[cbm2],bhpc_data[size22],$B14,bhpc_data[category],$L$3)</f>
        <v>0</v>
      </c>
      <c r="O14" s="85">
        <f t="shared" si="0"/>
        <v>0</v>
      </c>
    </row>
    <row r="15" spans="1:18">
      <c r="B15" s="103">
        <v>250</v>
      </c>
      <c r="C15" s="11">
        <f>SUMIFS(bhpc_data[tot_order],bhpc_data[size12],$B15,bhpc_data[category],$D$3)+SUMIFS(bhpc_data[tot_order],bhpc_data[size12],$B15,bhpc_data[category],$E$3)+SUMIFS(bhpc_data[tot_order],bhpc_data[size12],$B15,bhpc_data[category],$C$3)+SUMIFS(bhpc_data[tot_order],bhpc_data[size12],$B15,bhpc_data[category],$F$3)</f>
        <v>0</v>
      </c>
      <c r="D15" s="7">
        <f>SUMIFS(bhpc_data[unit_net_weight],bhpc_data[size12],$B15,bhpc_data[category],$D$3)+SUMIFS(bhpc_data[unit_net_weight],bhpc_data[size12],$B15,bhpc_data[category],$E$3)+SUMIFS(bhpc_data[unit_net_weight],bhpc_data[size12],$B15,bhpc_data[category],$C$3)+SUMIFS(bhpc_data[unit_net_weight],bhpc_data[size12],$B15,bhpc_data[category],$F$3)</f>
        <v>0</v>
      </c>
      <c r="E15" s="7">
        <f>SUMIFS(bhpc_data[unit_gross_weight],bhpc_data[size12],$B15,bhpc_data[category],$D$3)+SUMIFS(bhpc_data[unit_gross_weight],bhpc_data[size12],$B15,bhpc_data[category],$E$3)+SUMIFS(bhpc_data[unit_gross_weight],bhpc_data[size12],$B15,bhpc_data[category],$C$3)+SUMIFS(bhpc_data[unit_gross_weight],bhpc_data[size12],$B15,bhpc_data[category],$F$3)</f>
        <v>0</v>
      </c>
      <c r="F15" s="9">
        <f>SUMIFS(bhpc_data[cbm],bhpc_data[size12],$B15,bhpc_data[category],$D$3)+SUMIFS(bhpc_data[cbm],bhpc_data[size12],$B15,bhpc_data[category],$E$3)+SUMIFS(bhpc_data[cbm],bhpc_data[size12],$B15,bhpc_data[category],$C$3)+SUMIFS(bhpc_data[cbm],bhpc_data[size12],$B15,bhpc_data[category],$F$3)</f>
        <v>0</v>
      </c>
      <c r="G15" s="11">
        <f>SUMIFS(bhpc_data[tot_order],bhpc_data[size12],$B15,bhpc_data[category],$G$3)</f>
        <v>0</v>
      </c>
      <c r="H15" s="7">
        <f>SUMIFS(bhpc_data[unit_net_weight],bhpc_data[size12],$B15,bhpc_data[category],$G$3)</f>
        <v>0</v>
      </c>
      <c r="I15" s="7">
        <f>SUMIFS(bhpc_data[unit_gross_weight],bhpc_data[size12],$B15,bhpc_data[category],$G$3)</f>
        <v>0</v>
      </c>
      <c r="J15" s="9">
        <f>SUMIFS(bhpc_data[cbm],bhpc_data[size12],$B15,bhpc_data[category],$G$3)</f>
        <v>0</v>
      </c>
      <c r="K15" s="108">
        <f>SUMIFS(bhpc_data[tot_order],bhpc_data[size12],$B15,bhpc_data[category],$K$3)+SUMIFS(bhpc_data[tot_order],bhpc_data[size22],$B15,bhpc_data[category],$L$3)</f>
        <v>0</v>
      </c>
      <c r="L15" s="108">
        <f>SUMIFS(bhpc_data[unit_net_weight],bhpc_data[size12],$B15,bhpc_data[category],$K$3)+SUMIFS(bhpc_data[unit_net_weight2],bhpc_data[size22],$B15,bhpc_data[category],$L$3)</f>
        <v>0</v>
      </c>
      <c r="M15" s="108">
        <f>SUMIFS(bhpc_data[unit_gross_weight],bhpc_data[size12],$B15,bhpc_data[category],$K$3)+SUMIFS(bhpc_data[unit_gross_weight2],bhpc_data[size22],$B15,bhpc_data[category],$L$3)</f>
        <v>0</v>
      </c>
      <c r="N15" s="109">
        <f>SUMIFS(bhpc_data[cbm],bhpc_data[size12],$B15,bhpc_data[category],$K$3)+SUMIFS(bhpc_data[cbm2],bhpc_data[size22],$B15,bhpc_data[category],$L$3)</f>
        <v>0</v>
      </c>
      <c r="O15" s="85">
        <f t="shared" si="0"/>
        <v>0</v>
      </c>
    </row>
    <row r="16" spans="1:18">
      <c r="B16" s="103">
        <v>300</v>
      </c>
      <c r="C16" s="11">
        <f>SUMIFS(bhpc_data[tot_order],bhpc_data[size12],$B16,bhpc_data[category],$D$3)+SUMIFS(bhpc_data[tot_order],bhpc_data[size12],$B16,bhpc_data[category],$E$3)+SUMIFS(bhpc_data[tot_order],bhpc_data[size12],$B16,bhpc_data[category],$C$3)+SUMIFS(bhpc_data[tot_order],bhpc_data[size12],$B16,bhpc_data[category],$F$3)</f>
        <v>0</v>
      </c>
      <c r="D16" s="7">
        <f>SUMIFS(bhpc_data[unit_net_weight],bhpc_data[size12],$B16,bhpc_data[category],$D$3)+SUMIFS(bhpc_data[unit_net_weight],bhpc_data[size12],$B16,bhpc_data[category],$E$3)+SUMIFS(bhpc_data[unit_net_weight],bhpc_data[size12],$B16,bhpc_data[category],$C$3)+SUMIFS(bhpc_data[unit_net_weight],bhpc_data[size12],$B16,bhpc_data[category],$F$3)</f>
        <v>0</v>
      </c>
      <c r="E16" s="7">
        <f>SUMIFS(bhpc_data[unit_gross_weight],bhpc_data[size12],$B16,bhpc_data[category],$D$3)+SUMIFS(bhpc_data[unit_gross_weight],bhpc_data[size12],$B16,bhpc_data[category],$E$3)+SUMIFS(bhpc_data[unit_gross_weight],bhpc_data[size12],$B16,bhpc_data[category],$C$3)+SUMIFS(bhpc_data[unit_gross_weight],bhpc_data[size12],$B16,bhpc_data[category],$F$3)</f>
        <v>0</v>
      </c>
      <c r="F16" s="9">
        <f>SUMIFS(bhpc_data[cbm],bhpc_data[size12],$B16,bhpc_data[category],$D$3)+SUMIFS(bhpc_data[cbm],bhpc_data[size12],$B16,bhpc_data[category],$E$3)+SUMIFS(bhpc_data[cbm],bhpc_data[size12],$B16,bhpc_data[category],$C$3)+SUMIFS(bhpc_data[cbm],bhpc_data[size12],$B16,bhpc_data[category],$F$3)</f>
        <v>0</v>
      </c>
      <c r="G16" s="11">
        <f>SUMIFS(bhpc_data[tot_order],bhpc_data[size12],$B16,bhpc_data[category],$G$3)</f>
        <v>0</v>
      </c>
      <c r="H16" s="7">
        <f>SUMIFS(bhpc_data[unit_net_weight],bhpc_data[size12],$B16,bhpc_data[category],$G$3)</f>
        <v>0</v>
      </c>
      <c r="I16" s="7">
        <f>SUMIFS(bhpc_data[unit_gross_weight],bhpc_data[size12],$B16,bhpc_data[category],$G$3)</f>
        <v>0</v>
      </c>
      <c r="J16" s="9">
        <f>SUMIFS(bhpc_data[cbm],bhpc_data[size12],$B16,bhpc_data[category],$G$3)</f>
        <v>0</v>
      </c>
      <c r="K16" s="108">
        <f>SUMIFS(bhpc_data[tot_order],bhpc_data[size12],$B16,bhpc_data[category],$K$3)+SUMIFS(bhpc_data[tot_order],bhpc_data[size22],$B16,bhpc_data[category],$L$3)</f>
        <v>0</v>
      </c>
      <c r="L16" s="108">
        <f>SUMIFS(bhpc_data[unit_net_weight],bhpc_data[size12],$B16,bhpc_data[category],$K$3)+SUMIFS(bhpc_data[unit_net_weight2],bhpc_data[size22],$B16,bhpc_data[category],$L$3)</f>
        <v>0</v>
      </c>
      <c r="M16" s="108">
        <f>SUMIFS(bhpc_data[unit_gross_weight],bhpc_data[size12],$B16,bhpc_data[category],$K$3)+SUMIFS(bhpc_data[unit_gross_weight2],bhpc_data[size22],$B16,bhpc_data[category],$L$3)</f>
        <v>0</v>
      </c>
      <c r="N16" s="109">
        <f>SUMIFS(bhpc_data[cbm],bhpc_data[size12],$B16,bhpc_data[category],$K$3)+SUMIFS(bhpc_data[cbm2],bhpc_data[size22],$B16,bhpc_data[category],$L$3)</f>
        <v>0</v>
      </c>
      <c r="O16" s="85">
        <f t="shared" si="0"/>
        <v>0</v>
      </c>
    </row>
    <row r="17" spans="2:15">
      <c r="B17" s="103"/>
      <c r="C17" s="11">
        <f>SUMIFS(bhpc_data[tot_order],bhpc_data[size12],$B17,bhpc_data[category],$D$3)+SUMIFS(bhpc_data[tot_order],bhpc_data[size12],$B17,bhpc_data[category],$E$3)+SUMIFS(bhpc_data[tot_order],bhpc_data[size12],$B17,bhpc_data[category],$C$3)+SUMIFS(bhpc_data[tot_order],bhpc_data[size12],$B17,bhpc_data[category],$F$3)</f>
        <v>0</v>
      </c>
      <c r="D17" s="7">
        <f>SUMIFS(bhpc_data[unit_net_weight],bhpc_data[size12],$B17,bhpc_data[category],$D$3)+SUMIFS(bhpc_data[unit_net_weight],bhpc_data[size12],$B17,bhpc_data[category],$E$3)+SUMIFS(bhpc_data[unit_net_weight],bhpc_data[size12],$B17,bhpc_data[category],$C$3)+SUMIFS(bhpc_data[unit_net_weight],bhpc_data[size12],$B17,bhpc_data[category],$F$3)</f>
        <v>0</v>
      </c>
      <c r="E17" s="7">
        <f>SUMIFS(bhpc_data[unit_gross_weight],bhpc_data[size12],$B17,bhpc_data[category],$D$3)+SUMIFS(bhpc_data[unit_gross_weight],bhpc_data[size12],$B17,bhpc_data[category],$E$3)+SUMIFS(bhpc_data[unit_gross_weight],bhpc_data[size12],$B17,bhpc_data[category],$C$3)+SUMIFS(bhpc_data[unit_gross_weight],bhpc_data[size12],$B17,bhpc_data[category],$F$3)</f>
        <v>0</v>
      </c>
      <c r="F17" s="9">
        <f>SUMIFS(bhpc_data[cbm],bhpc_data[size12],$B17,bhpc_data[category],$D$3)+SUMIFS(bhpc_data[cbm],bhpc_data[size12],$B17,bhpc_data[category],$E$3)+SUMIFS(bhpc_data[cbm],bhpc_data[size12],$B17,bhpc_data[category],$C$3)+SUMIFS(bhpc_data[cbm],bhpc_data[size12],$B17,bhpc_data[category],$F$3)</f>
        <v>0</v>
      </c>
      <c r="G17" s="11">
        <f>SUMIFS(bhpc_data[tot_order],bhpc_data[size12],$B17,bhpc_data[category],$G$3)</f>
        <v>0</v>
      </c>
      <c r="H17" s="7">
        <f>SUMIFS(bhpc_data[unit_net_weight],bhpc_data[size12],$B17,bhpc_data[category],$G$3)</f>
        <v>0</v>
      </c>
      <c r="I17" s="7">
        <f>SUMIFS(bhpc_data[unit_gross_weight],bhpc_data[size12],$B17,bhpc_data[category],$G$3)</f>
        <v>0</v>
      </c>
      <c r="J17" s="9">
        <f>SUMIFS(bhpc_data[cbm],bhpc_data[size12],$B17,bhpc_data[category],$G$3)</f>
        <v>0</v>
      </c>
      <c r="K17" s="7">
        <f>SUMIFS(bhpc_data[tot_order],bhpc_data[size12],$B17,bhpc_data[category],$K$3)+SUMIFS(bhpc_data[tot_order],bhpc_data[size22],$B17,bhpc_data[category],$L$3)</f>
        <v>0</v>
      </c>
      <c r="L17" s="7">
        <f>SUMIFS(bhpc_data[unit_net_weight],bhpc_data[size12],$B17,bhpc_data[category],$K$3)+SUMIFS(bhpc_data[unit_net_weight2],bhpc_data[size22],$B17,bhpc_data[category],$L$3)</f>
        <v>0</v>
      </c>
      <c r="M17" s="7">
        <f>SUMIFS(bhpc_data[unit_gross_weight],bhpc_data[size12],$B17,bhpc_data[category],$K$3)+SUMIFS(bhpc_data[unit_gross_weight2],bhpc_data[size22],$B17,bhpc_data[category],$L$3)</f>
        <v>0</v>
      </c>
      <c r="N17" s="9">
        <f>SUMIFS(bhpc_data[cbm],bhpc_data[size12],$B17,bhpc_data[category],$K$3)+SUMIFS(bhpc_data[cbm2],bhpc_data[size22],$B17,bhpc_data[category],$L$3)</f>
        <v>0</v>
      </c>
      <c r="O17" s="85">
        <f t="shared" si="0"/>
        <v>0</v>
      </c>
    </row>
    <row r="18" spans="2:15">
      <c r="B18" s="103"/>
      <c r="C18" s="11">
        <f>SUMIFS(bhpc_data[tot_order],bhpc_data[size12],$B18,bhpc_data[category],$D$3)+SUMIFS(bhpc_data[tot_order],bhpc_data[size12],$B18,bhpc_data[category],$E$3)+SUMIFS(bhpc_data[tot_order],bhpc_data[size12],$B18,bhpc_data[category],$C$3)+SUMIFS(bhpc_data[tot_order],bhpc_data[size12],$B18,bhpc_data[category],$F$3)</f>
        <v>0</v>
      </c>
      <c r="D18" s="7">
        <f>SUMIFS(bhpc_data[unit_net_weight],bhpc_data[size12],$B18,bhpc_data[category],$D$3)+SUMIFS(bhpc_data[unit_net_weight],bhpc_data[size12],$B18,bhpc_data[category],$E$3)+SUMIFS(bhpc_data[unit_net_weight],bhpc_data[size12],$B18,bhpc_data[category],$C$3)+SUMIFS(bhpc_data[unit_net_weight],bhpc_data[size12],$B18,bhpc_data[category],$F$3)</f>
        <v>0</v>
      </c>
      <c r="E18" s="7">
        <f>SUMIFS(bhpc_data[unit_gross_weight],bhpc_data[size12],$B18,bhpc_data[category],$D$3)+SUMIFS(bhpc_data[unit_gross_weight],bhpc_data[size12],$B18,bhpc_data[category],$E$3)+SUMIFS(bhpc_data[unit_gross_weight],bhpc_data[size12],$B18,bhpc_data[category],$C$3)+SUMIFS(bhpc_data[unit_gross_weight],bhpc_data[size12],$B18,bhpc_data[category],$F$3)</f>
        <v>0</v>
      </c>
      <c r="F18" s="9">
        <f>SUMIFS(bhpc_data[cbm],bhpc_data[size12],$B18,bhpc_data[category],$D$3)+SUMIFS(bhpc_data[cbm],bhpc_data[size12],$B18,bhpc_data[category],$E$3)+SUMIFS(bhpc_data[cbm],bhpc_data[size12],$B18,bhpc_data[category],$C$3)+SUMIFS(bhpc_data[cbm],bhpc_data[size12],$B18,bhpc_data[category],$F$3)</f>
        <v>0</v>
      </c>
      <c r="G18" s="11">
        <f>SUMIFS(bhpc_data[tot_order],bhpc_data[size12],$B18,bhpc_data[category],$G$3)</f>
        <v>0</v>
      </c>
      <c r="H18" s="7">
        <f>SUMIFS(bhpc_data[unit_net_weight],bhpc_data[size12],$B18,bhpc_data[category],$G$3)</f>
        <v>0</v>
      </c>
      <c r="I18" s="7">
        <f>SUMIFS(bhpc_data[unit_gross_weight],bhpc_data[size12],$B18,bhpc_data[category],$G$3)</f>
        <v>0</v>
      </c>
      <c r="J18" s="9">
        <f>SUMIFS(bhpc_data[cbm],bhpc_data[size12],$B18,bhpc_data[category],$G$3)</f>
        <v>0</v>
      </c>
      <c r="K18" s="7">
        <f>SUMIFS(bhpc_data[tot_order],bhpc_data[size12],$B18,bhpc_data[category],$K$3)+SUMIFS(bhpc_data[tot_order],bhpc_data[size22],$B18,bhpc_data[category],$L$3)</f>
        <v>0</v>
      </c>
      <c r="L18" s="7">
        <f>SUMIFS(bhpc_data[unit_net_weight],bhpc_data[size12],$B18,bhpc_data[category],$K$3)+SUMIFS(bhpc_data[unit_net_weight2],bhpc_data[size22],$B18,bhpc_data[category],$L$3)</f>
        <v>0</v>
      </c>
      <c r="M18" s="7">
        <f>SUMIFS(bhpc_data[unit_gross_weight],bhpc_data[size12],$B18,bhpc_data[category],$K$3)+SUMIFS(bhpc_data[unit_gross_weight2],bhpc_data[size22],$B18,bhpc_data[category],$L$3)</f>
        <v>0</v>
      </c>
      <c r="N18" s="9">
        <f>SUMIFS(bhpc_data[cbm],bhpc_data[size12],$B18,bhpc_data[category],$K$3)+SUMIFS(bhpc_data[cbm2],bhpc_data[size22],$B18,bhpc_data[category],$L$3)</f>
        <v>0</v>
      </c>
      <c r="O18" s="85">
        <f t="shared" si="0"/>
        <v>0</v>
      </c>
    </row>
    <row r="19" spans="2:15">
      <c r="B19" s="103"/>
      <c r="C19" s="11">
        <f>SUMIFS(bhpc_data[tot_order],bhpc_data[size12],$B19,bhpc_data[category],$D$3)+SUMIFS(bhpc_data[tot_order],bhpc_data[size12],$B19,bhpc_data[category],$E$3)+SUMIFS(bhpc_data[tot_order],bhpc_data[size12],$B19,bhpc_data[category],$C$3)+SUMIFS(bhpc_data[tot_order],bhpc_data[size12],$B19,bhpc_data[category],$F$3)</f>
        <v>0</v>
      </c>
      <c r="D19" s="7">
        <f>SUMIFS(bhpc_data[unit_net_weight],bhpc_data[size12],$B19,bhpc_data[category],$D$3)+SUMIFS(bhpc_data[unit_net_weight],bhpc_data[size12],$B19,bhpc_data[category],$E$3)+SUMIFS(bhpc_data[unit_net_weight],bhpc_data[size12],$B19,bhpc_data[category],$C$3)+SUMIFS(bhpc_data[unit_net_weight],bhpc_data[size12],$B19,bhpc_data[category],$F$3)</f>
        <v>0</v>
      </c>
      <c r="E19" s="7">
        <f>SUMIFS(bhpc_data[unit_gross_weight],bhpc_data[size12],$B19,bhpc_data[category],$D$3)+SUMIFS(bhpc_data[unit_gross_weight],bhpc_data[size12],$B19,bhpc_data[category],$E$3)+SUMIFS(bhpc_data[unit_gross_weight],bhpc_data[size12],$B19,bhpc_data[category],$C$3)+SUMIFS(bhpc_data[unit_gross_weight],bhpc_data[size12],$B19,bhpc_data[category],$F$3)</f>
        <v>0</v>
      </c>
      <c r="F19" s="9">
        <f>SUMIFS(bhpc_data[cbm],bhpc_data[size12],$B19,bhpc_data[category],$D$3)+SUMIFS(bhpc_data[cbm],bhpc_data[size12],$B19,bhpc_data[category],$E$3)+SUMIFS(bhpc_data[cbm],bhpc_data[size12],$B19,bhpc_data[category],$C$3)+SUMIFS(bhpc_data[cbm],bhpc_data[size12],$B19,bhpc_data[category],$F$3)</f>
        <v>0</v>
      </c>
      <c r="G19" s="11">
        <f>SUMIFS(bhpc_data[tot_order],bhpc_data[size12],$B19,bhpc_data[category],$G$3)</f>
        <v>0</v>
      </c>
      <c r="H19" s="7">
        <f>SUMIFS(bhpc_data[unit_net_weight],bhpc_data[size12],$B19,bhpc_data[category],$G$3)</f>
        <v>0</v>
      </c>
      <c r="I19" s="7">
        <f>SUMIFS(bhpc_data[unit_gross_weight],bhpc_data[size12],$B19,bhpc_data[category],$G$3)</f>
        <v>0</v>
      </c>
      <c r="J19" s="9">
        <f>SUMIFS(bhpc_data[cbm],bhpc_data[size12],$B19,bhpc_data[category],$G$3)</f>
        <v>0</v>
      </c>
      <c r="K19" s="7">
        <f>SUMIFS(bhpc_data[tot_order],bhpc_data[size12],$B19,bhpc_data[category],$K$3)+SUMIFS(bhpc_data[tot_order],bhpc_data[size22],$B19,bhpc_data[category],$L$3)</f>
        <v>0</v>
      </c>
      <c r="L19" s="7">
        <f>SUMIFS(bhpc_data[unit_net_weight],bhpc_data[size12],$B19,bhpc_data[category],$K$3)+SUMIFS(bhpc_data[unit_net_weight2],bhpc_data[size22],$B19,bhpc_data[category],$L$3)</f>
        <v>0</v>
      </c>
      <c r="M19" s="7">
        <f>SUMIFS(bhpc_data[unit_gross_weight],bhpc_data[size12],$B19,bhpc_data[category],$K$3)+SUMIFS(bhpc_data[unit_gross_weight2],bhpc_data[size22],$B19,bhpc_data[category],$L$3)</f>
        <v>0</v>
      </c>
      <c r="N19" s="9">
        <f>SUMIFS(bhpc_data[cbm],bhpc_data[size12],$B19,bhpc_data[category],$K$3)+SUMIFS(bhpc_data[cbm2],bhpc_data[size22],$B19,bhpc_data[category],$L$3)</f>
        <v>0</v>
      </c>
      <c r="O19" s="85">
        <f t="shared" si="0"/>
        <v>0</v>
      </c>
    </row>
    <row r="20" spans="2:15">
      <c r="B20" s="103"/>
      <c r="C20" s="11">
        <f>SUMIFS(bhpc_data[tot_order],bhpc_data[size12],$B20,bhpc_data[category],$D$3)+SUMIFS(bhpc_data[tot_order],bhpc_data[size12],$B20,bhpc_data[category],$E$3)+SUMIFS(bhpc_data[tot_order],bhpc_data[size12],$B20,bhpc_data[category],$C$3)+SUMIFS(bhpc_data[tot_order],bhpc_data[size12],$B20,bhpc_data[category],$F$3)</f>
        <v>0</v>
      </c>
      <c r="D20" s="7">
        <f>SUMIFS(bhpc_data[unit_net_weight],bhpc_data[size12],$B20,bhpc_data[category],$D$3)+SUMIFS(bhpc_data[unit_net_weight],bhpc_data[size12],$B20,bhpc_data[category],$E$3)+SUMIFS(bhpc_data[unit_net_weight],bhpc_data[size12],$B20,bhpc_data[category],$C$3)+SUMIFS(bhpc_data[unit_net_weight],bhpc_data[size12],$B20,bhpc_data[category],$F$3)</f>
        <v>0</v>
      </c>
      <c r="E20" s="7">
        <f>SUMIFS(bhpc_data[unit_gross_weight],bhpc_data[size12],$B20,bhpc_data[category],$D$3)+SUMIFS(bhpc_data[unit_gross_weight],bhpc_data[size12],$B20,bhpc_data[category],$E$3)+SUMIFS(bhpc_data[unit_gross_weight],bhpc_data[size12],$B20,bhpc_data[category],$C$3)+SUMIFS(bhpc_data[unit_gross_weight],bhpc_data[size12],$B20,bhpc_data[category],$F$3)</f>
        <v>0</v>
      </c>
      <c r="F20" s="9">
        <f>SUMIFS(bhpc_data[cbm],bhpc_data[size12],$B20,bhpc_data[category],$D$3)+SUMIFS(bhpc_data[cbm],bhpc_data[size12],$B20,bhpc_data[category],$E$3)+SUMIFS(bhpc_data[cbm],bhpc_data[size12],$B20,bhpc_data[category],$C$3)+SUMIFS(bhpc_data[cbm],bhpc_data[size12],$B20,bhpc_data[category],$F$3)</f>
        <v>0</v>
      </c>
      <c r="G20" s="11">
        <f>SUMIFS(bhpc_data[tot_order],bhpc_data[size12],$B20,bhpc_data[category],$G$3)</f>
        <v>0</v>
      </c>
      <c r="H20" s="7">
        <f>SUMIFS(bhpc_data[unit_net_weight],bhpc_data[size12],$B20,bhpc_data[category],$G$3)</f>
        <v>0</v>
      </c>
      <c r="I20" s="7">
        <f>SUMIFS(bhpc_data[unit_gross_weight],bhpc_data[size12],$B20,bhpc_data[category],$G$3)</f>
        <v>0</v>
      </c>
      <c r="J20" s="9">
        <f>SUMIFS(bhpc_data[cbm],bhpc_data[size12],$B20,bhpc_data[category],$G$3)</f>
        <v>0</v>
      </c>
      <c r="K20" s="7">
        <f>SUMIFS(bhpc_data[tot_order],bhpc_data[size12],$B20,bhpc_data[category],$K$3)+SUMIFS(bhpc_data[tot_order],bhpc_data[size22],$B20,bhpc_data[category],$L$3)</f>
        <v>0</v>
      </c>
      <c r="L20" s="7">
        <f>SUMIFS(bhpc_data[unit_net_weight],bhpc_data[size12],$B20,bhpc_data[category],$K$3)+SUMIFS(bhpc_data[unit_net_weight2],bhpc_data[size22],$B20,bhpc_data[category],$L$3)</f>
        <v>0</v>
      </c>
      <c r="M20" s="7">
        <f>SUMIFS(bhpc_data[unit_gross_weight],bhpc_data[size12],$B20,bhpc_data[category],$K$3)+SUMIFS(bhpc_data[unit_gross_weight2],bhpc_data[size22],$B20,bhpc_data[category],$L$3)</f>
        <v>0</v>
      </c>
      <c r="N20" s="9">
        <f>SUMIFS(bhpc_data[cbm],bhpc_data[size12],$B20,bhpc_data[category],$K$3)+SUMIFS(bhpc_data[cbm2],bhpc_data[size22],$B20,bhpc_data[category],$L$3)</f>
        <v>0</v>
      </c>
      <c r="O20" s="85">
        <f t="shared" si="0"/>
        <v>0</v>
      </c>
    </row>
    <row r="21" spans="2:15">
      <c r="B21" s="103"/>
      <c r="C21" s="11">
        <f>SUMIFS(bhpc_data[tot_order],bhpc_data[size12],$B21,bhpc_data[category],$D$3)+SUMIFS(bhpc_data[tot_order],bhpc_data[size12],$B21,bhpc_data[category],$E$3)+SUMIFS(bhpc_data[tot_order],bhpc_data[size12],$B21,bhpc_data[category],$C$3)+SUMIFS(bhpc_data[tot_order],bhpc_data[size12],$B21,bhpc_data[category],$F$3)</f>
        <v>0</v>
      </c>
      <c r="D21" s="7">
        <f>SUMIFS(bhpc_data[unit_net_weight],bhpc_data[size12],$B21,bhpc_data[category],$D$3)+SUMIFS(bhpc_data[unit_net_weight],bhpc_data[size12],$B21,bhpc_data[category],$E$3)+SUMIFS(bhpc_data[unit_net_weight],bhpc_data[size12],$B21,bhpc_data[category],$C$3)+SUMIFS(bhpc_data[unit_net_weight],bhpc_data[size12],$B21,bhpc_data[category],$F$3)</f>
        <v>0</v>
      </c>
      <c r="E21" s="7">
        <f>SUMIFS(bhpc_data[unit_gross_weight],bhpc_data[size12],$B21,bhpc_data[category],$D$3)+SUMIFS(bhpc_data[unit_gross_weight],bhpc_data[size12],$B21,bhpc_data[category],$E$3)+SUMIFS(bhpc_data[unit_gross_weight],bhpc_data[size12],$B21,bhpc_data[category],$C$3)+SUMIFS(bhpc_data[unit_gross_weight],bhpc_data[size12],$B21,bhpc_data[category],$F$3)</f>
        <v>0</v>
      </c>
      <c r="F21" s="9">
        <f>SUMIFS(bhpc_data[cbm],bhpc_data[size12],$B21,bhpc_data[category],$D$3)+SUMIFS(bhpc_data[cbm],bhpc_data[size12],$B21,bhpc_data[category],$E$3)+SUMIFS(bhpc_data[cbm],bhpc_data[size12],$B21,bhpc_data[category],$C$3)+SUMIFS(bhpc_data[cbm],bhpc_data[size12],$B21,bhpc_data[category],$F$3)</f>
        <v>0</v>
      </c>
      <c r="G21" s="11">
        <f>SUMIFS(bhpc_data[tot_order],bhpc_data[size12],$B21,bhpc_data[category],$G$3)</f>
        <v>0</v>
      </c>
      <c r="H21" s="7">
        <f>SUMIFS(bhpc_data[unit_net_weight],bhpc_data[size12],$B21,bhpc_data[category],$G$3)</f>
        <v>0</v>
      </c>
      <c r="I21" s="7">
        <f>SUMIFS(bhpc_data[unit_gross_weight],bhpc_data[size12],$B21,bhpc_data[category],$G$3)</f>
        <v>0</v>
      </c>
      <c r="J21" s="9">
        <f>SUMIFS(bhpc_data[cbm],bhpc_data[size12],$B21,bhpc_data[category],$G$3)</f>
        <v>0</v>
      </c>
      <c r="K21" s="7">
        <f>SUMIFS(bhpc_data[tot_order],bhpc_data[size12],$B21,bhpc_data[category],$K$3)+SUMIFS(bhpc_data[tot_order],bhpc_data[size22],$B21,bhpc_data[category],$L$3)</f>
        <v>0</v>
      </c>
      <c r="L21" s="7">
        <f>SUMIFS(bhpc_data[unit_net_weight],bhpc_data[size12],$B21,bhpc_data[category],$K$3)+SUMIFS(bhpc_data[unit_net_weight2],bhpc_data[size22],$B21,bhpc_data[category],$L$3)</f>
        <v>0</v>
      </c>
      <c r="M21" s="7">
        <f>SUMIFS(bhpc_data[unit_gross_weight],bhpc_data[size12],$B21,bhpc_data[category],$K$3)+SUMIFS(bhpc_data[unit_gross_weight2],bhpc_data[size22],$B21,bhpc_data[category],$L$3)</f>
        <v>0</v>
      </c>
      <c r="N21" s="9">
        <f>SUMIFS(bhpc_data[cbm],bhpc_data[size12],$B21,bhpc_data[category],$K$3)+SUMIFS(bhpc_data[cbm2],bhpc_data[size22],$B21,bhpc_data[category],$L$3)</f>
        <v>0</v>
      </c>
      <c r="O21" s="85">
        <f t="shared" si="0"/>
        <v>0</v>
      </c>
    </row>
    <row r="22" spans="2:15">
      <c r="B22" s="103"/>
      <c r="C22" s="11">
        <f>SUMIFS(bhpc_data[tot_order],bhpc_data[size12],$B22,bhpc_data[category],$D$3)+SUMIFS(bhpc_data[tot_order],bhpc_data[size12],$B22,bhpc_data[category],$E$3)+SUMIFS(bhpc_data[tot_order],bhpc_data[size12],$B22,bhpc_data[category],$C$3)+SUMIFS(bhpc_data[tot_order],bhpc_data[size12],$B22,bhpc_data[category],$F$3)</f>
        <v>0</v>
      </c>
      <c r="D22" s="7">
        <f>SUMIFS(bhpc_data[unit_net_weight],bhpc_data[size12],$B22,bhpc_data[category],$D$3)+SUMIFS(bhpc_data[unit_net_weight],bhpc_data[size12],$B22,bhpc_data[category],$E$3)+SUMIFS(bhpc_data[unit_net_weight],bhpc_data[size12],$B22,bhpc_data[category],$C$3)+SUMIFS(bhpc_data[unit_net_weight],bhpc_data[size12],$B22,bhpc_data[category],$F$3)</f>
        <v>0</v>
      </c>
      <c r="E22" s="7">
        <f>SUMIFS(bhpc_data[unit_gross_weight],bhpc_data[size12],$B22,bhpc_data[category],$D$3)+SUMIFS(bhpc_data[unit_gross_weight],bhpc_data[size12],$B22,bhpc_data[category],$E$3)+SUMIFS(bhpc_data[unit_gross_weight],bhpc_data[size12],$B22,bhpc_data[category],$C$3)+SUMIFS(bhpc_data[unit_gross_weight],bhpc_data[size12],$B22,bhpc_data[category],$F$3)</f>
        <v>0</v>
      </c>
      <c r="F22" s="9">
        <f>SUMIFS(bhpc_data[cbm],bhpc_data[size12],$B22,bhpc_data[category],$D$3)+SUMIFS(bhpc_data[cbm],bhpc_data[size12],$B22,bhpc_data[category],$E$3)+SUMIFS(bhpc_data[cbm],bhpc_data[size12],$B22,bhpc_data[category],$C$3)+SUMIFS(bhpc_data[cbm],bhpc_data[size12],$B22,bhpc_data[category],$F$3)</f>
        <v>0</v>
      </c>
      <c r="G22" s="11">
        <f>SUMIFS(bhpc_data[tot_order],bhpc_data[size12],$B22,bhpc_data[category],$G$3)</f>
        <v>0</v>
      </c>
      <c r="H22" s="7">
        <f>SUMIFS(bhpc_data[unit_net_weight],bhpc_data[size12],$B22,bhpc_data[category],$G$3)</f>
        <v>0</v>
      </c>
      <c r="I22" s="7">
        <f>SUMIFS(bhpc_data[unit_gross_weight],bhpc_data[size12],$B22,bhpc_data[category],$G$3)</f>
        <v>0</v>
      </c>
      <c r="J22" s="9">
        <f>SUMIFS(bhpc_data[cbm],bhpc_data[size12],$B22,bhpc_data[category],$G$3)</f>
        <v>0</v>
      </c>
      <c r="K22" s="7">
        <f>SUMIFS(bhpc_data[tot_order],bhpc_data[size12],$B22,bhpc_data[category],$K$3)+SUMIFS(bhpc_data[tot_order],bhpc_data[size22],$B22,bhpc_data[category],$L$3)</f>
        <v>0</v>
      </c>
      <c r="L22" s="7">
        <f>SUMIFS(bhpc_data[unit_net_weight],bhpc_data[size12],$B22,bhpc_data[category],$K$3)+SUMIFS(bhpc_data[unit_net_weight2],bhpc_data[size22],$B22,bhpc_data[category],$L$3)</f>
        <v>0</v>
      </c>
      <c r="M22" s="7">
        <f>SUMIFS(bhpc_data[unit_gross_weight],bhpc_data[size12],$B22,bhpc_data[category],$K$3)+SUMIFS(bhpc_data[unit_gross_weight2],bhpc_data[size22],$B22,bhpc_data[category],$L$3)</f>
        <v>0</v>
      </c>
      <c r="N22" s="9">
        <f>SUMIFS(bhpc_data[cbm],bhpc_data[size12],$B22,bhpc_data[category],$K$3)+SUMIFS(bhpc_data[cbm2],bhpc_data[size22],$B22,bhpc_data[category],$L$3)</f>
        <v>0</v>
      </c>
      <c r="O22" s="85">
        <f t="shared" si="0"/>
        <v>0</v>
      </c>
    </row>
    <row r="23" spans="2:15">
      <c r="B23" s="103"/>
      <c r="C23" s="11">
        <f>SUMIFS(bhpc_data[tot_order],bhpc_data[size12],$B23,bhpc_data[category],$D$3)+SUMIFS(bhpc_data[tot_order],bhpc_data[size12],$B23,bhpc_data[category],$E$3)+SUMIFS(bhpc_data[tot_order],bhpc_data[size12],$B23,bhpc_data[category],$C$3)+SUMIFS(bhpc_data[tot_order],bhpc_data[size12],$B23,bhpc_data[category],$F$3)</f>
        <v>0</v>
      </c>
      <c r="D23" s="7">
        <f>SUMIFS(bhpc_data[unit_net_weight],bhpc_data[size12],$B23,bhpc_data[category],$D$3)+SUMIFS(bhpc_data[unit_net_weight],bhpc_data[size12],$B23,bhpc_data[category],$E$3)+SUMIFS(bhpc_data[unit_net_weight],bhpc_data[size12],$B23,bhpc_data[category],$C$3)+SUMIFS(bhpc_data[unit_net_weight],bhpc_data[size12],$B23,bhpc_data[category],$F$3)</f>
        <v>0</v>
      </c>
      <c r="E23" s="7">
        <f>SUMIFS(bhpc_data[unit_gross_weight],bhpc_data[size12],$B23,bhpc_data[category],$D$3)+SUMIFS(bhpc_data[unit_gross_weight],bhpc_data[size12],$B23,bhpc_data[category],$E$3)+SUMIFS(bhpc_data[unit_gross_weight],bhpc_data[size12],$B23,bhpc_data[category],$C$3)+SUMIFS(bhpc_data[unit_gross_weight],bhpc_data[size12],$B23,bhpc_data[category],$F$3)</f>
        <v>0</v>
      </c>
      <c r="F23" s="9">
        <f>SUMIFS(bhpc_data[cbm],bhpc_data[size12],$B23,bhpc_data[category],$D$3)+SUMIFS(bhpc_data[cbm],bhpc_data[size12],$B23,bhpc_data[category],$E$3)+SUMIFS(bhpc_data[cbm],bhpc_data[size12],$B23,bhpc_data[category],$C$3)+SUMIFS(bhpc_data[cbm],bhpc_data[size12],$B23,bhpc_data[category],$F$3)</f>
        <v>0</v>
      </c>
      <c r="G23" s="11">
        <f>SUMIFS(bhpc_data[tot_order],bhpc_data[size12],$B23,bhpc_data[category],$G$3)</f>
        <v>0</v>
      </c>
      <c r="H23" s="7">
        <f>SUMIFS(bhpc_data[unit_net_weight],bhpc_data[size12],$B23,bhpc_data[category],$G$3)</f>
        <v>0</v>
      </c>
      <c r="I23" s="7">
        <f>SUMIFS(bhpc_data[unit_gross_weight],bhpc_data[size12],$B23,bhpc_data[category],$G$3)</f>
        <v>0</v>
      </c>
      <c r="J23" s="9">
        <f>SUMIFS(bhpc_data[cbm],bhpc_data[size12],$B23,bhpc_data[category],$G$3)</f>
        <v>0</v>
      </c>
      <c r="K23" s="7">
        <f>SUMIFS(bhpc_data[tot_order],bhpc_data[size12],$B23,bhpc_data[category],$K$3)+SUMIFS(bhpc_data[tot_order],bhpc_data[size22],$B23,bhpc_data[category],$L$3)</f>
        <v>0</v>
      </c>
      <c r="L23" s="7">
        <f>SUMIFS(bhpc_data[unit_net_weight],bhpc_data[size12],$B23,bhpc_data[category],$K$3)+SUMIFS(bhpc_data[unit_net_weight2],bhpc_data[size22],$B23,bhpc_data[category],$L$3)</f>
        <v>0</v>
      </c>
      <c r="M23" s="7">
        <f>SUMIFS(bhpc_data[unit_gross_weight],bhpc_data[size12],$B23,bhpc_data[category],$K$3)+SUMIFS(bhpc_data[unit_gross_weight2],bhpc_data[size22],$B23,bhpc_data[category],$L$3)</f>
        <v>0</v>
      </c>
      <c r="N23" s="9">
        <f>SUMIFS(bhpc_data[cbm],bhpc_data[size12],$B23,bhpc_data[category],$K$3)+SUMIFS(bhpc_data[cbm2],bhpc_data[size22],$B23,bhpc_data[category],$L$3)</f>
        <v>0</v>
      </c>
      <c r="O23" s="85">
        <f t="shared" si="0"/>
        <v>0</v>
      </c>
    </row>
    <row r="24" spans="2:15">
      <c r="B24" s="103"/>
      <c r="C24" s="11">
        <f>SUMIFS(bhpc_data[tot_order],bhpc_data[size12],$B24,bhpc_data[category],$D$3)+SUMIFS(bhpc_data[tot_order],bhpc_data[size12],$B24,bhpc_data[category],$E$3)+SUMIFS(bhpc_data[tot_order],bhpc_data[size12],$B24,bhpc_data[category],$C$3)+SUMIFS(bhpc_data[tot_order],bhpc_data[size12],$B24,bhpc_data[category],$F$3)</f>
        <v>0</v>
      </c>
      <c r="D24" s="7">
        <f>SUMIFS(bhpc_data[unit_net_weight],bhpc_data[size12],$B24,bhpc_data[category],$D$3)+SUMIFS(bhpc_data[unit_net_weight],bhpc_data[size12],$B24,bhpc_data[category],$E$3)+SUMIFS(bhpc_data[unit_net_weight],bhpc_data[size12],$B24,bhpc_data[category],$C$3)+SUMIFS(bhpc_data[unit_net_weight],bhpc_data[size12],$B24,bhpc_data[category],$F$3)</f>
        <v>0</v>
      </c>
      <c r="E24" s="7">
        <f>SUMIFS(bhpc_data[unit_gross_weight],bhpc_data[size12],$B24,bhpc_data[category],$D$3)+SUMIFS(bhpc_data[unit_gross_weight],bhpc_data[size12],$B24,bhpc_data[category],$E$3)+SUMIFS(bhpc_data[unit_gross_weight],bhpc_data[size12],$B24,bhpc_data[category],$C$3)+SUMIFS(bhpc_data[unit_gross_weight],bhpc_data[size12],$B24,bhpc_data[category],$F$3)</f>
        <v>0</v>
      </c>
      <c r="F24" s="9">
        <f>SUMIFS(bhpc_data[cbm],bhpc_data[size12],$B24,bhpc_data[category],$D$3)+SUMIFS(bhpc_data[cbm],bhpc_data[size12],$B24,bhpc_data[category],$E$3)+SUMIFS(bhpc_data[cbm],bhpc_data[size12],$B24,bhpc_data[category],$C$3)+SUMIFS(bhpc_data[cbm],bhpc_data[size12],$B24,bhpc_data[category],$F$3)</f>
        <v>0</v>
      </c>
      <c r="G24" s="11">
        <f>SUMIFS(bhpc_data[tot_order],bhpc_data[size12],$B24,bhpc_data[category],$G$3)</f>
        <v>0</v>
      </c>
      <c r="H24" s="7">
        <f>SUMIFS(bhpc_data[unit_net_weight],bhpc_data[size12],$B24,bhpc_data[category],$G$3)</f>
        <v>0</v>
      </c>
      <c r="I24" s="7">
        <f>SUMIFS(bhpc_data[unit_gross_weight],bhpc_data[size12],$B24,bhpc_data[category],$G$3)</f>
        <v>0</v>
      </c>
      <c r="J24" s="9">
        <f>SUMIFS(bhpc_data[cbm],bhpc_data[size12],$B24,bhpc_data[category],$G$3)</f>
        <v>0</v>
      </c>
      <c r="K24" s="7">
        <f>SUMIFS(bhpc_data[tot_order],bhpc_data[size12],$B24,bhpc_data[category],$K$3)+SUMIFS(bhpc_data[tot_order],bhpc_data[size22],$B24,bhpc_data[category],$L$3)</f>
        <v>0</v>
      </c>
      <c r="L24" s="7">
        <f>SUMIFS(bhpc_data[unit_net_weight],bhpc_data[size12],$B24,bhpc_data[category],$K$3)+SUMIFS(bhpc_data[unit_net_weight2],bhpc_data[size22],$B24,bhpc_data[category],$L$3)</f>
        <v>0</v>
      </c>
      <c r="M24" s="7">
        <f>SUMIFS(bhpc_data[unit_gross_weight],bhpc_data[size12],$B24,bhpc_data[category],$K$3)+SUMIFS(bhpc_data[unit_gross_weight2],bhpc_data[size22],$B24,bhpc_data[category],$L$3)</f>
        <v>0</v>
      </c>
      <c r="N24" s="9">
        <f>SUMIFS(bhpc_data[cbm],bhpc_data[size12],$B24,bhpc_data[category],$K$3)+SUMIFS(bhpc_data[cbm2],bhpc_data[size22],$B24,bhpc_data[category],$L$3)</f>
        <v>0</v>
      </c>
      <c r="O24" s="85">
        <f t="shared" si="0"/>
        <v>0</v>
      </c>
    </row>
    <row r="25" spans="2:15">
      <c r="B25" s="103"/>
      <c r="C25" s="12">
        <f>SUMIFS(bhpc_data[tot_order],bhpc_data[size12],$B25,bhpc_data[category],$D$3)+SUMIFS(bhpc_data[tot_order],bhpc_data[size12],$B25,bhpc_data[category],$E$3)+SUMIFS(bhpc_data[tot_order],bhpc_data[size12],$B25,bhpc_data[category],$C$3)+SUMIFS(bhpc_data[tot_order],bhpc_data[size12],$B25,bhpc_data[category],$F$3)</f>
        <v>0</v>
      </c>
      <c r="D25" s="8">
        <f>SUMIFS(bhpc_data[unit_net_weight],bhpc_data[size12],$B25,bhpc_data[category],$D$3)+SUMIFS(bhpc_data[unit_net_weight],bhpc_data[size12],$B25,bhpc_data[category],$E$3)+SUMIFS(bhpc_data[unit_net_weight],bhpc_data[size12],$B25,bhpc_data[category],$C$3)+SUMIFS(bhpc_data[unit_net_weight],bhpc_data[size12],$B25,bhpc_data[category],$F$3)</f>
        <v>0</v>
      </c>
      <c r="E25" s="8">
        <f>SUMIFS(bhpc_data[unit_gross_weight],bhpc_data[size12],$B25,bhpc_data[category],$D$3)+SUMIFS(bhpc_data[unit_gross_weight],bhpc_data[size12],$B25,bhpc_data[category],$E$3)+SUMIFS(bhpc_data[unit_gross_weight],bhpc_data[size12],$B25,bhpc_data[category],$C$3)+SUMIFS(bhpc_data[unit_gross_weight],bhpc_data[size12],$B25,bhpc_data[category],$F$3)</f>
        <v>0</v>
      </c>
      <c r="F25" s="10">
        <f>SUMIFS(bhpc_data[cbm],bhpc_data[size12],$B25,bhpc_data[category],$D$3)+SUMIFS(bhpc_data[cbm],bhpc_data[size12],$B25,bhpc_data[category],$E$3)+SUMIFS(bhpc_data[cbm],bhpc_data[size12],$B25,bhpc_data[category],$C$3)+SUMIFS(bhpc_data[cbm],bhpc_data[size12],$B25,bhpc_data[category],$F$3)</f>
        <v>0</v>
      </c>
      <c r="G25" s="12">
        <f>SUMIFS(bhpc_data[tot_order],bhpc_data[size12],$B25,bhpc_data[category],$G$3)</f>
        <v>0</v>
      </c>
      <c r="H25" s="8">
        <f>SUMIFS(bhpc_data[unit_net_weight],bhpc_data[size12],$B25,bhpc_data[category],$G$3)</f>
        <v>0</v>
      </c>
      <c r="I25" s="8">
        <f>SUMIFS(bhpc_data[unit_gross_weight],bhpc_data[size12],$B25,bhpc_data[category],$G$3)</f>
        <v>0</v>
      </c>
      <c r="J25" s="10">
        <f>SUMIFS(bhpc_data[cbm],bhpc_data[size12],$B25,bhpc_data[category],$G$3)</f>
        <v>0</v>
      </c>
      <c r="K25" s="8">
        <f>SUMIFS(bhpc_data[tot_order],bhpc_data[size12],$B25,bhpc_data[category],$K$3)+SUMIFS(bhpc_data[tot_order],bhpc_data[size22],$B25,bhpc_data[category],$L$3)</f>
        <v>0</v>
      </c>
      <c r="L25" s="8">
        <f>SUMIFS(bhpc_data[unit_net_weight],bhpc_data[size12],$B25,bhpc_data[category],$K$3)+SUMIFS(bhpc_data[unit_net_weight2],bhpc_data[size22],$B25,bhpc_data[category],$L$3)</f>
        <v>0</v>
      </c>
      <c r="M25" s="8">
        <f>SUMIFS(bhpc_data[unit_gross_weight],bhpc_data[size12],$B25,bhpc_data[category],$K$3)+SUMIFS(bhpc_data[unit_gross_weight2],bhpc_data[size22],$B25,bhpc_data[category],$L$3)</f>
        <v>0</v>
      </c>
      <c r="N25" s="10">
        <f>SUMIFS(bhpc_data[cbm],bhpc_data[size12],$B25,bhpc_data[category],$K$3)+SUMIFS(bhpc_data[cbm2],bhpc_data[size22],$B25,bhpc_data[category],$L$3)</f>
        <v>0</v>
      </c>
      <c r="O25" s="85">
        <f t="shared" si="0"/>
        <v>0</v>
      </c>
    </row>
    <row r="32" spans="2:15">
      <c r="B32" t="s">
        <v>421</v>
      </c>
    </row>
    <row r="33" spans="2:2">
      <c r="B33" t="s">
        <v>422</v>
      </c>
    </row>
    <row r="34" spans="2:2">
      <c r="B34" t="s">
        <v>423</v>
      </c>
    </row>
    <row r="35" spans="2:2">
      <c r="B35" t="s">
        <v>424</v>
      </c>
    </row>
    <row r="36" spans="2:2">
      <c r="B36" t="s">
        <v>425</v>
      </c>
    </row>
  </sheetData>
  <mergeCells count="6">
    <mergeCell ref="C4:F4"/>
    <mergeCell ref="G4:J4"/>
    <mergeCell ref="K4:N4"/>
    <mergeCell ref="C8:F8"/>
    <mergeCell ref="G8:J8"/>
    <mergeCell ref="K8:N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10"/>
  <dimension ref="A1:AC380"/>
  <sheetViews>
    <sheetView topLeftCell="D1" workbookViewId="0">
      <pane ySplit="1" topLeftCell="A323" activePane="bottomLeft" state="frozen"/>
      <selection activeCell="E158" sqref="E158"/>
      <selection pane="bottomLeft" activeCell="B380" sqref="B380:T380"/>
    </sheetView>
  </sheetViews>
  <sheetFormatPr defaultRowHeight="15"/>
  <cols>
    <col min="1" max="1" width="11.5703125" style="7" customWidth="1"/>
    <col min="2" max="2" width="11.5703125" style="199" customWidth="1"/>
    <col min="3" max="3" width="50" style="200" bestFit="1" customWidth="1"/>
    <col min="4" max="4" width="11.5703125" style="7" customWidth="1"/>
    <col min="5" max="5" width="10.42578125" customWidth="1"/>
    <col min="6" max="6" width="11.5703125" style="195" customWidth="1"/>
    <col min="7" max="7" width="11.5703125" style="72" customWidth="1"/>
    <col min="8" max="8" width="14.7109375" style="195" customWidth="1"/>
    <col min="9" max="10" width="14.7109375" style="7" customWidth="1"/>
    <col min="11" max="12" width="11.5703125" style="7" customWidth="1"/>
    <col min="13" max="15" width="14.5703125" style="197" customWidth="1"/>
    <col min="16" max="17" width="14.5703125" style="172" customWidth="1"/>
    <col min="18" max="18" width="13.140625" style="91" bestFit="1" customWidth="1"/>
    <col min="19" max="19" width="10.5703125" style="91" bestFit="1" customWidth="1"/>
    <col min="20" max="20" width="12.140625" style="91" customWidth="1"/>
    <col min="21" max="21" width="11.28515625" customWidth="1"/>
  </cols>
  <sheetData>
    <row r="1" spans="1:27" s="89" customFormat="1" ht="42" customHeight="1">
      <c r="A1" s="194" t="s">
        <v>426</v>
      </c>
      <c r="B1" s="198" t="s">
        <v>0</v>
      </c>
      <c r="C1" s="198" t="s">
        <v>6</v>
      </c>
      <c r="D1" s="194" t="s">
        <v>427</v>
      </c>
      <c r="E1" s="92" t="s">
        <v>1186</v>
      </c>
      <c r="F1" s="194" t="s">
        <v>428</v>
      </c>
      <c r="G1" s="92" t="s">
        <v>429</v>
      </c>
      <c r="H1" s="194" t="s">
        <v>430</v>
      </c>
      <c r="I1" s="194" t="s">
        <v>672</v>
      </c>
      <c r="J1" s="194" t="s">
        <v>1158</v>
      </c>
      <c r="K1" s="194" t="s">
        <v>673</v>
      </c>
      <c r="L1" s="194" t="s">
        <v>15</v>
      </c>
      <c r="M1" s="194" t="s">
        <v>16</v>
      </c>
      <c r="N1" s="194" t="s">
        <v>31</v>
      </c>
      <c r="O1" s="194" t="s">
        <v>1</v>
      </c>
      <c r="P1" s="194" t="s">
        <v>415</v>
      </c>
      <c r="Q1" s="194" t="s">
        <v>5</v>
      </c>
      <c r="R1" s="92" t="s">
        <v>431</v>
      </c>
      <c r="S1" s="92" t="s">
        <v>1187</v>
      </c>
      <c r="T1" s="92" t="s">
        <v>1188</v>
      </c>
      <c r="U1" s="554" t="s">
        <v>890</v>
      </c>
      <c r="AA1" s="90">
        <f>SUBTOTAL(3,A:A)-1</f>
        <v>379</v>
      </c>
    </row>
    <row r="2" spans="1:27">
      <c r="A2" s="439">
        <v>2</v>
      </c>
      <c r="B2" s="440" t="s">
        <v>127</v>
      </c>
      <c r="C2" s="441" t="s">
        <v>129</v>
      </c>
      <c r="D2" s="439">
        <v>720</v>
      </c>
      <c r="E2" s="442">
        <v>14.53</v>
      </c>
      <c r="F2" s="443"/>
      <c r="G2" s="442"/>
      <c r="H2" s="439">
        <v>100</v>
      </c>
      <c r="I2" s="439">
        <v>30</v>
      </c>
      <c r="J2" s="439">
        <v>0</v>
      </c>
      <c r="K2" s="439">
        <v>5</v>
      </c>
      <c r="L2" s="439">
        <v>323.89999999999998</v>
      </c>
      <c r="M2" s="439">
        <v>338.25</v>
      </c>
      <c r="N2" s="439">
        <v>0.51892499999999997</v>
      </c>
      <c r="O2" s="439" t="s">
        <v>128</v>
      </c>
      <c r="P2" s="439">
        <v>100</v>
      </c>
      <c r="Q2" s="439" t="s">
        <v>75</v>
      </c>
      <c r="R2" s="444">
        <v>11.68</v>
      </c>
      <c r="S2" s="444">
        <v>9577.6</v>
      </c>
      <c r="T2" s="444">
        <v>10461.6</v>
      </c>
      <c r="U2" s="444" t="str">
        <f>IFERROR(VLOOKUP(salesHistory[[#This Row],[order_no]],orderHistory[],22,FALSE),"")</f>
        <v>SALE</v>
      </c>
    </row>
    <row r="3" spans="1:27">
      <c r="A3" s="7">
        <v>2</v>
      </c>
      <c r="B3" s="199" t="s">
        <v>130</v>
      </c>
      <c r="C3" s="200" t="s">
        <v>131</v>
      </c>
      <c r="D3" s="7">
        <v>720</v>
      </c>
      <c r="E3" s="72">
        <v>14.53</v>
      </c>
      <c r="H3" s="7">
        <v>100</v>
      </c>
      <c r="I3" s="7">
        <v>30</v>
      </c>
      <c r="J3" s="7">
        <v>0</v>
      </c>
      <c r="K3" s="7">
        <v>5</v>
      </c>
      <c r="L3" s="7">
        <v>323.89999999999998</v>
      </c>
      <c r="M3" s="7">
        <v>338.25</v>
      </c>
      <c r="N3" s="7">
        <v>0.51892499999999997</v>
      </c>
      <c r="O3" s="7" t="s">
        <v>128</v>
      </c>
      <c r="P3" s="7">
        <v>100</v>
      </c>
      <c r="Q3" s="7" t="s">
        <v>75</v>
      </c>
      <c r="R3" s="21">
        <v>11.68</v>
      </c>
      <c r="S3" s="21">
        <v>9577.6</v>
      </c>
      <c r="T3" s="21">
        <v>10461.6</v>
      </c>
      <c r="U3" s="21" t="str">
        <f>IFERROR(VLOOKUP(salesHistory[[#This Row],[order_no]],orderHistory[],22,FALSE),"")</f>
        <v>SALE</v>
      </c>
    </row>
    <row r="4" spans="1:27">
      <c r="A4" s="7">
        <v>2</v>
      </c>
      <c r="B4" s="199" t="s">
        <v>132</v>
      </c>
      <c r="C4" s="200" t="s">
        <v>843</v>
      </c>
      <c r="D4" s="7">
        <v>720</v>
      </c>
      <c r="E4" s="72">
        <v>14.53</v>
      </c>
      <c r="H4" s="7">
        <v>100</v>
      </c>
      <c r="I4" s="7">
        <v>30</v>
      </c>
      <c r="J4" s="7">
        <v>0</v>
      </c>
      <c r="K4" s="7">
        <v>5</v>
      </c>
      <c r="L4" s="7">
        <v>323.89999999999998</v>
      </c>
      <c r="M4" s="7">
        <v>338.25</v>
      </c>
      <c r="N4" s="7">
        <v>0.51892499999999997</v>
      </c>
      <c r="O4" s="7" t="s">
        <v>128</v>
      </c>
      <c r="P4" s="7">
        <v>100</v>
      </c>
      <c r="Q4" s="7" t="s">
        <v>75</v>
      </c>
      <c r="R4" s="21">
        <v>11.68</v>
      </c>
      <c r="S4" s="21">
        <v>9577.6</v>
      </c>
      <c r="T4" s="21">
        <v>10461.6</v>
      </c>
      <c r="U4" s="21" t="str">
        <f>IFERROR(VLOOKUP(salesHistory[[#This Row],[order_no]],orderHistory[],22,FALSE),"")</f>
        <v>SALE</v>
      </c>
    </row>
    <row r="5" spans="1:27">
      <c r="A5" s="7">
        <v>2</v>
      </c>
      <c r="B5" s="199" t="s">
        <v>134</v>
      </c>
      <c r="C5" s="200" t="s">
        <v>135</v>
      </c>
      <c r="D5" s="7">
        <v>720</v>
      </c>
      <c r="E5" s="72">
        <v>14.53</v>
      </c>
      <c r="H5" s="7">
        <v>100</v>
      </c>
      <c r="I5" s="7">
        <v>30</v>
      </c>
      <c r="J5" s="7">
        <v>0</v>
      </c>
      <c r="K5" s="7">
        <v>5</v>
      </c>
      <c r="L5" s="7">
        <v>323.89999999999998</v>
      </c>
      <c r="M5" s="7">
        <v>338.25</v>
      </c>
      <c r="N5" s="7">
        <v>0.51892499999999997</v>
      </c>
      <c r="O5" s="7" t="s">
        <v>128</v>
      </c>
      <c r="P5" s="7">
        <v>100</v>
      </c>
      <c r="Q5" s="7" t="s">
        <v>75</v>
      </c>
      <c r="R5" s="21">
        <v>11.68</v>
      </c>
      <c r="S5" s="21">
        <v>9577.6</v>
      </c>
      <c r="T5" s="21">
        <v>10461.6</v>
      </c>
      <c r="U5" s="21" t="str">
        <f>IFERROR(VLOOKUP(salesHistory[[#This Row],[order_no]],orderHistory[],22,FALSE),"")</f>
        <v>SALE</v>
      </c>
    </row>
    <row r="6" spans="1:27">
      <c r="A6" s="7">
        <v>2</v>
      </c>
      <c r="B6" s="199" t="s">
        <v>136</v>
      </c>
      <c r="C6" s="200" t="s">
        <v>137</v>
      </c>
      <c r="D6" s="7">
        <v>720</v>
      </c>
      <c r="E6" s="72">
        <v>14.53</v>
      </c>
      <c r="H6" s="7">
        <v>100</v>
      </c>
      <c r="I6" s="7">
        <v>30</v>
      </c>
      <c r="J6" s="7">
        <v>0</v>
      </c>
      <c r="K6" s="7">
        <v>5</v>
      </c>
      <c r="L6" s="7">
        <v>311.59999999999997</v>
      </c>
      <c r="M6" s="7">
        <v>324.58333333333331</v>
      </c>
      <c r="N6" s="7">
        <v>0.52593749999999995</v>
      </c>
      <c r="O6" s="7" t="s">
        <v>128</v>
      </c>
      <c r="P6" s="7">
        <v>100</v>
      </c>
      <c r="Q6" s="7" t="s">
        <v>75</v>
      </c>
      <c r="R6" s="21">
        <v>11.68</v>
      </c>
      <c r="S6" s="21">
        <v>9577.6</v>
      </c>
      <c r="T6" s="21">
        <v>10461.6</v>
      </c>
      <c r="U6" s="21" t="str">
        <f>IFERROR(VLOOKUP(salesHistory[[#This Row],[order_no]],orderHistory[],22,FALSE),"")</f>
        <v>SALE</v>
      </c>
    </row>
    <row r="7" spans="1:27">
      <c r="A7" s="7">
        <v>2</v>
      </c>
      <c r="B7" s="199" t="s">
        <v>138</v>
      </c>
      <c r="C7" s="200" t="s">
        <v>139</v>
      </c>
      <c r="D7" s="7">
        <v>720</v>
      </c>
      <c r="E7" s="72">
        <v>14.53</v>
      </c>
      <c r="H7" s="7">
        <v>100</v>
      </c>
      <c r="I7" s="7">
        <v>30</v>
      </c>
      <c r="J7" s="7">
        <v>0</v>
      </c>
      <c r="K7" s="7">
        <v>5</v>
      </c>
      <c r="L7" s="7">
        <v>311.59999999999997</v>
      </c>
      <c r="M7" s="7">
        <v>324.58333333333331</v>
      </c>
      <c r="N7" s="7">
        <v>0.52593749999999995</v>
      </c>
      <c r="O7" s="7" t="s">
        <v>128</v>
      </c>
      <c r="P7" s="7">
        <v>100</v>
      </c>
      <c r="Q7" s="7" t="s">
        <v>75</v>
      </c>
      <c r="R7" s="21">
        <v>11.68</v>
      </c>
      <c r="S7" s="21">
        <v>9577.6</v>
      </c>
      <c r="T7" s="21">
        <v>10461.6</v>
      </c>
      <c r="U7" s="21" t="str">
        <f>IFERROR(VLOOKUP(salesHistory[[#This Row],[order_no]],orderHistory[],22,FALSE),"")</f>
        <v>SALE</v>
      </c>
    </row>
    <row r="8" spans="1:27">
      <c r="A8" s="7">
        <v>2</v>
      </c>
      <c r="B8" s="199" t="s">
        <v>140</v>
      </c>
      <c r="C8" s="200" t="s">
        <v>141</v>
      </c>
      <c r="D8" s="7">
        <v>720</v>
      </c>
      <c r="E8" s="72">
        <v>14.53</v>
      </c>
      <c r="H8" s="7">
        <v>100</v>
      </c>
      <c r="I8" s="7">
        <v>30</v>
      </c>
      <c r="J8" s="7">
        <v>0</v>
      </c>
      <c r="K8" s="7">
        <v>5</v>
      </c>
      <c r="L8" s="7">
        <v>311.59999999999997</v>
      </c>
      <c r="M8" s="7">
        <v>324.58333333333331</v>
      </c>
      <c r="N8" s="7">
        <v>0.52593749999999995</v>
      </c>
      <c r="O8" s="7" t="s">
        <v>128</v>
      </c>
      <c r="P8" s="7">
        <v>100</v>
      </c>
      <c r="Q8" s="7" t="s">
        <v>75</v>
      </c>
      <c r="R8" s="21">
        <v>11.68</v>
      </c>
      <c r="S8" s="21">
        <v>9577.6</v>
      </c>
      <c r="T8" s="21">
        <v>10461.6</v>
      </c>
      <c r="U8" s="21" t="str">
        <f>IFERROR(VLOOKUP(salesHistory[[#This Row],[order_no]],orderHistory[],22,FALSE),"")</f>
        <v>SALE</v>
      </c>
    </row>
    <row r="9" spans="1:27">
      <c r="A9" s="439">
        <v>2</v>
      </c>
      <c r="B9" s="440" t="s">
        <v>142</v>
      </c>
      <c r="C9" s="441" t="s">
        <v>143</v>
      </c>
      <c r="D9" s="439">
        <v>720</v>
      </c>
      <c r="E9" s="442">
        <v>14.53</v>
      </c>
      <c r="F9" s="443"/>
      <c r="G9" s="442"/>
      <c r="H9" s="439">
        <v>100</v>
      </c>
      <c r="I9" s="439">
        <v>30</v>
      </c>
      <c r="J9" s="439">
        <v>0</v>
      </c>
      <c r="K9" s="439">
        <v>5</v>
      </c>
      <c r="L9" s="439">
        <v>311.59999999999997</v>
      </c>
      <c r="M9" s="439">
        <v>324.58333333333331</v>
      </c>
      <c r="N9" s="439">
        <v>0.52593749999999995</v>
      </c>
      <c r="O9" s="439" t="s">
        <v>128</v>
      </c>
      <c r="P9" s="439">
        <v>100</v>
      </c>
      <c r="Q9" s="439" t="s">
        <v>75</v>
      </c>
      <c r="R9" s="444">
        <v>11.68</v>
      </c>
      <c r="S9" s="444">
        <v>9577.6</v>
      </c>
      <c r="T9" s="444">
        <v>10461.6</v>
      </c>
      <c r="U9" s="444" t="str">
        <f>IFERROR(VLOOKUP(salesHistory[[#This Row],[order_no]],orderHistory[],22,FALSE),"")</f>
        <v>SALE</v>
      </c>
    </row>
    <row r="10" spans="1:27">
      <c r="A10" s="7">
        <v>3</v>
      </c>
      <c r="B10" s="199" t="s">
        <v>127</v>
      </c>
      <c r="C10" s="200" t="s">
        <v>129</v>
      </c>
      <c r="D10" s="7">
        <v>480</v>
      </c>
      <c r="E10" s="72">
        <v>13.99</v>
      </c>
      <c r="H10" s="7">
        <v>60</v>
      </c>
      <c r="I10" s="7">
        <v>20</v>
      </c>
      <c r="J10" s="7">
        <v>0</v>
      </c>
      <c r="K10" s="7">
        <v>3</v>
      </c>
      <c r="L10" s="7">
        <v>213.3</v>
      </c>
      <c r="M10" s="7">
        <v>222.75</v>
      </c>
      <c r="N10" s="7">
        <v>0.34594999999999998</v>
      </c>
      <c r="O10" s="7" t="s">
        <v>128</v>
      </c>
      <c r="P10" s="7">
        <v>100</v>
      </c>
      <c r="Q10" s="7" t="s">
        <v>75</v>
      </c>
      <c r="R10" s="21">
        <v>11.68</v>
      </c>
      <c r="S10" s="21">
        <v>6307.2</v>
      </c>
      <c r="T10" s="21">
        <v>6715.2</v>
      </c>
      <c r="U10" s="21" t="str">
        <f>IFERROR(VLOOKUP(salesHistory[[#This Row],[order_no]],orderHistory[],22,FALSE),"")</f>
        <v>SALE</v>
      </c>
    </row>
    <row r="11" spans="1:27">
      <c r="A11" s="7">
        <v>3</v>
      </c>
      <c r="B11" s="199" t="s">
        <v>130</v>
      </c>
      <c r="C11" s="200" t="s">
        <v>131</v>
      </c>
      <c r="D11" s="7">
        <v>480</v>
      </c>
      <c r="E11" s="72">
        <v>13.99</v>
      </c>
      <c r="H11" s="7">
        <v>60</v>
      </c>
      <c r="I11" s="7">
        <v>20</v>
      </c>
      <c r="J11" s="7">
        <v>0</v>
      </c>
      <c r="K11" s="7">
        <v>3</v>
      </c>
      <c r="L11" s="7">
        <v>213.3</v>
      </c>
      <c r="M11" s="7">
        <v>222.75</v>
      </c>
      <c r="N11" s="7">
        <v>0.34594999999999998</v>
      </c>
      <c r="O11" s="7" t="s">
        <v>128</v>
      </c>
      <c r="P11" s="7">
        <v>100</v>
      </c>
      <c r="Q11" s="7" t="s">
        <v>75</v>
      </c>
      <c r="R11" s="21">
        <v>11.68</v>
      </c>
      <c r="S11" s="21">
        <v>6307.2</v>
      </c>
      <c r="T11" s="21">
        <v>6715.2</v>
      </c>
      <c r="U11" s="21" t="str">
        <f>IFERROR(VLOOKUP(salesHistory[[#This Row],[order_no]],orderHistory[],22,FALSE),"")</f>
        <v>SALE</v>
      </c>
    </row>
    <row r="12" spans="1:27">
      <c r="A12" s="7">
        <v>3</v>
      </c>
      <c r="B12" s="199" t="s">
        <v>132</v>
      </c>
      <c r="C12" s="200" t="s">
        <v>843</v>
      </c>
      <c r="D12" s="7">
        <v>480</v>
      </c>
      <c r="E12" s="72">
        <v>13.99</v>
      </c>
      <c r="H12" s="7">
        <v>60</v>
      </c>
      <c r="I12" s="7">
        <v>20</v>
      </c>
      <c r="J12" s="7">
        <v>0</v>
      </c>
      <c r="K12" s="7">
        <v>3</v>
      </c>
      <c r="L12" s="7">
        <v>213.3</v>
      </c>
      <c r="M12" s="7">
        <v>222.75</v>
      </c>
      <c r="N12" s="7">
        <v>0.34594999999999998</v>
      </c>
      <c r="O12" s="7" t="s">
        <v>128</v>
      </c>
      <c r="P12" s="7">
        <v>100</v>
      </c>
      <c r="Q12" s="7" t="s">
        <v>75</v>
      </c>
      <c r="R12" s="21">
        <v>11.68</v>
      </c>
      <c r="S12" s="21">
        <v>6307.2</v>
      </c>
      <c r="T12" s="21">
        <v>6715.2</v>
      </c>
      <c r="U12" s="21" t="str">
        <f>IFERROR(VLOOKUP(salesHistory[[#This Row],[order_no]],orderHistory[],22,FALSE),"")</f>
        <v>SALE</v>
      </c>
    </row>
    <row r="13" spans="1:27">
      <c r="A13" s="7">
        <v>3</v>
      </c>
      <c r="B13" s="199" t="s">
        <v>134</v>
      </c>
      <c r="C13" s="200" t="s">
        <v>135</v>
      </c>
      <c r="D13" s="7">
        <v>480</v>
      </c>
      <c r="E13" s="72">
        <v>13.99</v>
      </c>
      <c r="H13" s="7">
        <v>60</v>
      </c>
      <c r="I13" s="7">
        <v>20</v>
      </c>
      <c r="J13" s="7">
        <v>0</v>
      </c>
      <c r="K13" s="7">
        <v>3</v>
      </c>
      <c r="L13" s="7">
        <v>213.3</v>
      </c>
      <c r="M13" s="7">
        <v>222.75</v>
      </c>
      <c r="N13" s="7">
        <v>0.34594999999999998</v>
      </c>
      <c r="O13" s="7" t="s">
        <v>128</v>
      </c>
      <c r="P13" s="7">
        <v>100</v>
      </c>
      <c r="Q13" s="7" t="s">
        <v>75</v>
      </c>
      <c r="R13" s="21">
        <v>11.68</v>
      </c>
      <c r="S13" s="21">
        <v>6307.2</v>
      </c>
      <c r="T13" s="21">
        <v>6715.2</v>
      </c>
      <c r="U13" s="21" t="str">
        <f>IFERROR(VLOOKUP(salesHistory[[#This Row],[order_no]],orderHistory[],22,FALSE),"")</f>
        <v>SALE</v>
      </c>
    </row>
    <row r="14" spans="1:27">
      <c r="A14" s="7">
        <v>3</v>
      </c>
      <c r="B14" s="199" t="s">
        <v>136</v>
      </c>
      <c r="C14" s="200" t="s">
        <v>137</v>
      </c>
      <c r="D14" s="7">
        <v>480</v>
      </c>
      <c r="E14" s="72">
        <v>13.99</v>
      </c>
      <c r="H14" s="7">
        <v>60</v>
      </c>
      <c r="I14" s="7">
        <v>20</v>
      </c>
      <c r="J14" s="7">
        <v>0</v>
      </c>
      <c r="K14" s="7">
        <v>3</v>
      </c>
      <c r="L14" s="7">
        <v>205.2</v>
      </c>
      <c r="M14" s="7">
        <v>213.75</v>
      </c>
      <c r="N14" s="7">
        <v>0.35062500000000002</v>
      </c>
      <c r="O14" s="7" t="s">
        <v>128</v>
      </c>
      <c r="P14" s="7">
        <v>100</v>
      </c>
      <c r="Q14" s="7" t="s">
        <v>75</v>
      </c>
      <c r="R14" s="21">
        <v>11.68</v>
      </c>
      <c r="S14" s="21">
        <v>6307.2</v>
      </c>
      <c r="T14" s="21">
        <v>6715.2</v>
      </c>
      <c r="U14" s="21" t="str">
        <f>IFERROR(VLOOKUP(salesHistory[[#This Row],[order_no]],orderHistory[],22,FALSE),"")</f>
        <v>SALE</v>
      </c>
    </row>
    <row r="15" spans="1:27">
      <c r="A15" s="7">
        <v>3</v>
      </c>
      <c r="B15" s="199" t="s">
        <v>138</v>
      </c>
      <c r="C15" s="200" t="s">
        <v>139</v>
      </c>
      <c r="D15" s="7">
        <v>480</v>
      </c>
      <c r="E15" s="72">
        <v>13.99</v>
      </c>
      <c r="H15" s="7">
        <v>60</v>
      </c>
      <c r="I15" s="7">
        <v>20</v>
      </c>
      <c r="J15" s="7">
        <v>0</v>
      </c>
      <c r="K15" s="7">
        <v>3</v>
      </c>
      <c r="L15" s="7">
        <v>205.2</v>
      </c>
      <c r="M15" s="7">
        <v>213.75</v>
      </c>
      <c r="N15" s="7">
        <v>0.35062500000000002</v>
      </c>
      <c r="O15" s="7" t="s">
        <v>128</v>
      </c>
      <c r="P15" s="7">
        <v>100</v>
      </c>
      <c r="Q15" s="7" t="s">
        <v>75</v>
      </c>
      <c r="R15" s="21">
        <v>11.68</v>
      </c>
      <c r="S15" s="21">
        <v>6307.2</v>
      </c>
      <c r="T15" s="21">
        <v>6715.2</v>
      </c>
      <c r="U15" s="21" t="str">
        <f>IFERROR(VLOOKUP(salesHistory[[#This Row],[order_no]],orderHistory[],22,FALSE),"")</f>
        <v>SALE</v>
      </c>
    </row>
    <row r="16" spans="1:27">
      <c r="A16" s="7">
        <v>3</v>
      </c>
      <c r="B16" s="199" t="s">
        <v>140</v>
      </c>
      <c r="C16" s="200" t="s">
        <v>141</v>
      </c>
      <c r="D16" s="7">
        <v>480</v>
      </c>
      <c r="E16" s="72">
        <v>13.99</v>
      </c>
      <c r="H16" s="7">
        <v>60</v>
      </c>
      <c r="I16" s="7">
        <v>20</v>
      </c>
      <c r="J16" s="7">
        <v>0</v>
      </c>
      <c r="K16" s="7">
        <v>3</v>
      </c>
      <c r="L16" s="7">
        <v>205.2</v>
      </c>
      <c r="M16" s="7">
        <v>213.75</v>
      </c>
      <c r="N16" s="7">
        <v>0.35062500000000002</v>
      </c>
      <c r="O16" s="7" t="s">
        <v>128</v>
      </c>
      <c r="P16" s="7">
        <v>100</v>
      </c>
      <c r="Q16" s="7" t="s">
        <v>75</v>
      </c>
      <c r="R16" s="21">
        <v>11.68</v>
      </c>
      <c r="S16" s="21">
        <v>6307.2</v>
      </c>
      <c r="T16" s="21">
        <v>6715.2</v>
      </c>
      <c r="U16" s="21" t="str">
        <f>IFERROR(VLOOKUP(salesHistory[[#This Row],[order_no]],orderHistory[],22,FALSE),"")</f>
        <v>SALE</v>
      </c>
    </row>
    <row r="17" spans="1:29">
      <c r="A17" s="439">
        <v>3</v>
      </c>
      <c r="B17" s="440" t="s">
        <v>142</v>
      </c>
      <c r="C17" s="441" t="s">
        <v>143</v>
      </c>
      <c r="D17" s="439">
        <v>480</v>
      </c>
      <c r="E17" s="442">
        <v>13.99</v>
      </c>
      <c r="F17" s="443"/>
      <c r="G17" s="442"/>
      <c r="H17" s="439">
        <v>60</v>
      </c>
      <c r="I17" s="439">
        <v>20</v>
      </c>
      <c r="J17" s="439">
        <v>0</v>
      </c>
      <c r="K17" s="439">
        <v>3</v>
      </c>
      <c r="L17" s="439">
        <v>205.2</v>
      </c>
      <c r="M17" s="439">
        <v>213.75</v>
      </c>
      <c r="N17" s="439">
        <v>0.35062500000000002</v>
      </c>
      <c r="O17" s="439" t="s">
        <v>128</v>
      </c>
      <c r="P17" s="439">
        <v>100</v>
      </c>
      <c r="Q17" s="439" t="s">
        <v>75</v>
      </c>
      <c r="R17" s="444">
        <v>11.68</v>
      </c>
      <c r="S17" s="444">
        <v>6307.2</v>
      </c>
      <c r="T17" s="444">
        <v>6715.2</v>
      </c>
      <c r="U17" s="444" t="str">
        <f>IFERROR(VLOOKUP(salesHistory[[#This Row],[order_no]],orderHistory[],22,FALSE),"")</f>
        <v>SALE</v>
      </c>
    </row>
    <row r="18" spans="1:29">
      <c r="A18" s="439">
        <v>4</v>
      </c>
      <c r="B18" s="440" t="s">
        <v>108</v>
      </c>
      <c r="C18" s="441" t="s">
        <v>109</v>
      </c>
      <c r="D18" s="439">
        <v>3000</v>
      </c>
      <c r="E18" s="442">
        <v>17</v>
      </c>
      <c r="F18" s="443"/>
      <c r="G18" s="442"/>
      <c r="H18" s="439"/>
      <c r="I18" s="439">
        <v>150</v>
      </c>
      <c r="J18" s="439">
        <v>0</v>
      </c>
      <c r="K18" s="439">
        <v>0</v>
      </c>
      <c r="L18" s="439">
        <v>2190</v>
      </c>
      <c r="M18" s="439">
        <v>3075</v>
      </c>
      <c r="N18" s="439">
        <v>11.04</v>
      </c>
      <c r="O18" s="439" t="s">
        <v>37</v>
      </c>
      <c r="P18" s="439">
        <v>100</v>
      </c>
      <c r="Q18" s="439">
        <v>0</v>
      </c>
      <c r="R18" s="444">
        <v>15</v>
      </c>
      <c r="S18" s="444">
        <v>45000</v>
      </c>
      <c r="T18" s="444">
        <v>51000</v>
      </c>
      <c r="U18" s="444" t="str">
        <f>IFERROR(VLOOKUP(salesHistory[[#This Row],[order_no]],orderHistory[],22,FALSE),"")</f>
        <v>SALE</v>
      </c>
    </row>
    <row r="19" spans="1:29">
      <c r="A19" s="7">
        <v>5</v>
      </c>
      <c r="B19" s="199" t="s">
        <v>161</v>
      </c>
      <c r="C19" s="200" t="s">
        <v>162</v>
      </c>
      <c r="D19" s="7">
        <v>2712</v>
      </c>
      <c r="E19" s="72">
        <v>12.5</v>
      </c>
      <c r="F19" s="195">
        <v>912</v>
      </c>
      <c r="G19" s="72">
        <v>6.25</v>
      </c>
      <c r="H19" s="7"/>
      <c r="I19" s="7">
        <v>151</v>
      </c>
      <c r="J19" s="7">
        <v>38</v>
      </c>
      <c r="K19" s="7">
        <v>0</v>
      </c>
      <c r="L19" s="7">
        <v>1431.48</v>
      </c>
      <c r="M19" s="7">
        <v>1494.9</v>
      </c>
      <c r="N19" s="7">
        <v>2.6119224999999999</v>
      </c>
      <c r="O19" s="7" t="s">
        <v>128</v>
      </c>
      <c r="P19" s="7">
        <v>100</v>
      </c>
      <c r="Q19" s="7" t="s">
        <v>75</v>
      </c>
      <c r="R19" s="21">
        <v>11.68</v>
      </c>
      <c r="S19" s="21">
        <v>42328.32</v>
      </c>
      <c r="T19" s="21">
        <v>39600</v>
      </c>
      <c r="U19" s="21" t="str">
        <f>IFERROR(VLOOKUP(salesHistory[[#This Row],[order_no]],orderHistory[],22,FALSE),"")</f>
        <v>SALE</v>
      </c>
    </row>
    <row r="20" spans="1:29">
      <c r="A20" s="439">
        <v>5</v>
      </c>
      <c r="B20" s="440" t="s">
        <v>163</v>
      </c>
      <c r="C20" s="441" t="s">
        <v>164</v>
      </c>
      <c r="D20" s="439">
        <v>2712</v>
      </c>
      <c r="E20" s="442">
        <v>12.5</v>
      </c>
      <c r="F20" s="443">
        <v>912</v>
      </c>
      <c r="G20" s="442">
        <v>6.25</v>
      </c>
      <c r="H20" s="439"/>
      <c r="I20" s="439">
        <v>151</v>
      </c>
      <c r="J20" s="439">
        <v>38</v>
      </c>
      <c r="K20" s="439">
        <v>0</v>
      </c>
      <c r="L20" s="439">
        <v>1431.48</v>
      </c>
      <c r="M20" s="439">
        <v>1494.9</v>
      </c>
      <c r="N20" s="439">
        <v>2.6119224999999999</v>
      </c>
      <c r="O20" s="439" t="s">
        <v>128</v>
      </c>
      <c r="P20" s="439">
        <v>100</v>
      </c>
      <c r="Q20" s="439" t="s">
        <v>75</v>
      </c>
      <c r="R20" s="444">
        <v>11.68</v>
      </c>
      <c r="S20" s="444">
        <v>42328.32</v>
      </c>
      <c r="T20" s="444">
        <v>39600</v>
      </c>
      <c r="U20" s="444" t="str">
        <f>IFERROR(VLOOKUP(salesHistory[[#This Row],[order_no]],orderHistory[],22,FALSE),"")</f>
        <v>SALE</v>
      </c>
    </row>
    <row r="21" spans="1:29">
      <c r="A21" s="439">
        <v>6</v>
      </c>
      <c r="B21" s="440" t="s">
        <v>121</v>
      </c>
      <c r="C21" s="441" t="s">
        <v>122</v>
      </c>
      <c r="D21" s="439">
        <v>2640</v>
      </c>
      <c r="E21" s="442">
        <v>5.2533271071678724</v>
      </c>
      <c r="F21" s="443"/>
      <c r="G21" s="442"/>
      <c r="H21" s="439"/>
      <c r="I21" s="439">
        <v>110</v>
      </c>
      <c r="J21" s="439">
        <v>0</v>
      </c>
      <c r="K21" s="439">
        <v>0</v>
      </c>
      <c r="L21" s="439">
        <v>755.7</v>
      </c>
      <c r="M21" s="439">
        <v>831.59999999999991</v>
      </c>
      <c r="N21" s="439">
        <v>2.7670499999999998</v>
      </c>
      <c r="O21" s="439" t="s">
        <v>74</v>
      </c>
      <c r="P21" s="439">
        <v>100</v>
      </c>
      <c r="Q21" s="439" t="s">
        <v>75</v>
      </c>
      <c r="R21" s="444">
        <v>5</v>
      </c>
      <c r="S21" s="444">
        <v>13200</v>
      </c>
      <c r="T21" s="444">
        <v>13868.783562923185</v>
      </c>
      <c r="U21" s="444" t="str">
        <f>IFERROR(VLOOKUP(salesHistory[[#This Row],[order_no]],orderHistory[],22,FALSE),"")</f>
        <v>SALE</v>
      </c>
      <c r="AC21">
        <v>0</v>
      </c>
    </row>
    <row r="22" spans="1:29">
      <c r="A22" s="7">
        <v>7</v>
      </c>
      <c r="B22" s="199" t="s">
        <v>127</v>
      </c>
      <c r="C22" s="200" t="s">
        <v>129</v>
      </c>
      <c r="D22" s="7">
        <v>450</v>
      </c>
      <c r="E22" s="72">
        <v>12.5</v>
      </c>
      <c r="H22" s="7">
        <v>38</v>
      </c>
      <c r="I22" s="7">
        <v>19</v>
      </c>
      <c r="J22" s="7">
        <v>0</v>
      </c>
      <c r="K22" s="7">
        <v>2</v>
      </c>
      <c r="L22" s="7">
        <v>192.76</v>
      </c>
      <c r="M22" s="7">
        <v>201.29999999999998</v>
      </c>
      <c r="N22" s="7">
        <v>0.32432812500000002</v>
      </c>
      <c r="O22" s="7" t="s">
        <v>128</v>
      </c>
      <c r="P22" s="7">
        <v>100</v>
      </c>
      <c r="Q22" s="7" t="s">
        <v>75</v>
      </c>
      <c r="R22" s="21">
        <v>11.68</v>
      </c>
      <c r="S22" s="21">
        <v>5699.84</v>
      </c>
      <c r="T22" s="21">
        <v>5625</v>
      </c>
      <c r="U22" s="21" t="str">
        <f>IFERROR(VLOOKUP(salesHistory[[#This Row],[order_no]],orderHistory[],22,FALSE),"")</f>
        <v>SALE</v>
      </c>
    </row>
    <row r="23" spans="1:29">
      <c r="A23" s="7">
        <v>7</v>
      </c>
      <c r="B23" s="199" t="s">
        <v>130</v>
      </c>
      <c r="C23" s="200" t="s">
        <v>131</v>
      </c>
      <c r="E23" s="72"/>
      <c r="F23" s="195">
        <v>20</v>
      </c>
      <c r="G23" s="72">
        <v>6.25</v>
      </c>
      <c r="H23" s="7"/>
      <c r="I23" s="7">
        <v>1</v>
      </c>
      <c r="J23" s="7">
        <v>1</v>
      </c>
      <c r="K23" s="7">
        <v>0</v>
      </c>
      <c r="L23" s="7">
        <v>7.9</v>
      </c>
      <c r="M23" s="7">
        <v>8.25</v>
      </c>
      <c r="N23" s="7">
        <v>1.4414583333333335E-2</v>
      </c>
      <c r="O23" s="7" t="s">
        <v>128</v>
      </c>
      <c r="P23" s="7">
        <v>100</v>
      </c>
      <c r="Q23" s="7" t="s">
        <v>75</v>
      </c>
      <c r="R23" s="21">
        <v>11.68</v>
      </c>
      <c r="S23" s="21">
        <v>233.6</v>
      </c>
      <c r="T23" s="21">
        <v>125</v>
      </c>
      <c r="U23" s="21" t="str">
        <f>IFERROR(VLOOKUP(salesHistory[[#This Row],[order_no]],orderHistory[],22,FALSE),"")</f>
        <v>SALE</v>
      </c>
    </row>
    <row r="24" spans="1:29">
      <c r="A24" s="7">
        <v>7</v>
      </c>
      <c r="B24" s="199" t="s">
        <v>132</v>
      </c>
      <c r="C24" s="200" t="s">
        <v>843</v>
      </c>
      <c r="E24" s="72"/>
      <c r="F24" s="195">
        <v>66</v>
      </c>
      <c r="G24" s="72">
        <v>6.25</v>
      </c>
      <c r="H24" s="7"/>
      <c r="I24" s="7">
        <v>3</v>
      </c>
      <c r="J24" s="7">
        <v>3</v>
      </c>
      <c r="K24" s="7">
        <v>0</v>
      </c>
      <c r="L24" s="7">
        <v>26.07</v>
      </c>
      <c r="M24" s="7">
        <v>27.225000000000001</v>
      </c>
      <c r="N24" s="7">
        <v>4.7568125000000003E-2</v>
      </c>
      <c r="O24" s="7" t="s">
        <v>128</v>
      </c>
      <c r="P24" s="7">
        <v>100</v>
      </c>
      <c r="Q24" s="7" t="s">
        <v>75</v>
      </c>
      <c r="R24" s="21">
        <v>11.68</v>
      </c>
      <c r="S24" s="21">
        <v>770.88</v>
      </c>
      <c r="T24" s="21">
        <v>412.5</v>
      </c>
      <c r="U24" s="21" t="str">
        <f>IFERROR(VLOOKUP(salesHistory[[#This Row],[order_no]],orderHistory[],22,FALSE),"")</f>
        <v>SALE</v>
      </c>
    </row>
    <row r="25" spans="1:29">
      <c r="A25" s="7">
        <v>7</v>
      </c>
      <c r="B25" s="199" t="s">
        <v>134</v>
      </c>
      <c r="C25" s="200" t="s">
        <v>135</v>
      </c>
      <c r="D25" s="7">
        <v>150</v>
      </c>
      <c r="E25" s="72">
        <v>12.5</v>
      </c>
      <c r="H25" s="7">
        <v>13</v>
      </c>
      <c r="I25" s="7">
        <v>7</v>
      </c>
      <c r="J25" s="7">
        <v>0</v>
      </c>
      <c r="K25" s="7">
        <v>1</v>
      </c>
      <c r="L25" s="7">
        <v>64.385000000000005</v>
      </c>
      <c r="M25" s="7">
        <v>67.237500000000011</v>
      </c>
      <c r="N25" s="7">
        <v>0.10810937499999999</v>
      </c>
      <c r="O25" s="7" t="s">
        <v>128</v>
      </c>
      <c r="P25" s="7">
        <v>100</v>
      </c>
      <c r="Q25" s="7" t="s">
        <v>75</v>
      </c>
      <c r="R25" s="21">
        <v>11.68</v>
      </c>
      <c r="S25" s="21">
        <v>1903.84</v>
      </c>
      <c r="T25" s="21">
        <v>1875</v>
      </c>
      <c r="U25" s="21" t="str">
        <f>IFERROR(VLOOKUP(salesHistory[[#This Row],[order_no]],orderHistory[],22,FALSE),"")</f>
        <v>SALE</v>
      </c>
    </row>
    <row r="26" spans="1:29">
      <c r="A26" s="7">
        <v>7</v>
      </c>
      <c r="B26" s="199" t="s">
        <v>140</v>
      </c>
      <c r="C26" s="200" t="s">
        <v>141</v>
      </c>
      <c r="E26" s="72"/>
      <c r="F26" s="195">
        <v>30</v>
      </c>
      <c r="G26" s="72">
        <v>6.25</v>
      </c>
      <c r="H26" s="7"/>
      <c r="I26" s="7">
        <v>2</v>
      </c>
      <c r="J26" s="7">
        <v>2</v>
      </c>
      <c r="K26" s="7">
        <v>0</v>
      </c>
      <c r="L26" s="7">
        <v>11.399999999999999</v>
      </c>
      <c r="M26" s="7">
        <v>11.875</v>
      </c>
      <c r="N26" s="7">
        <v>2.1914062500000001E-2</v>
      </c>
      <c r="O26" s="7" t="s">
        <v>128</v>
      </c>
      <c r="P26" s="7">
        <v>100</v>
      </c>
      <c r="Q26" s="7" t="s">
        <v>75</v>
      </c>
      <c r="R26" s="21">
        <v>11.68</v>
      </c>
      <c r="S26" s="21">
        <v>350.4</v>
      </c>
      <c r="T26" s="21">
        <v>187.5</v>
      </c>
      <c r="U26" s="21" t="str">
        <f>IFERROR(VLOOKUP(salesHistory[[#This Row],[order_no]],orderHistory[],22,FALSE),"")</f>
        <v>SALE</v>
      </c>
    </row>
    <row r="27" spans="1:29">
      <c r="A27" s="7">
        <v>7</v>
      </c>
      <c r="B27" s="199" t="s">
        <v>142</v>
      </c>
      <c r="C27" s="200" t="s">
        <v>143</v>
      </c>
      <c r="E27" s="72"/>
      <c r="F27" s="195">
        <v>90</v>
      </c>
      <c r="G27" s="72">
        <v>6.25</v>
      </c>
      <c r="H27" s="7"/>
      <c r="I27" s="7">
        <v>4</v>
      </c>
      <c r="J27" s="7">
        <v>4</v>
      </c>
      <c r="K27" s="7">
        <v>0</v>
      </c>
      <c r="L27" s="7">
        <v>34.199999999999996</v>
      </c>
      <c r="M27" s="7">
        <v>35.625</v>
      </c>
      <c r="N27" s="7">
        <v>6.5742187499999993E-2</v>
      </c>
      <c r="O27" s="7" t="s">
        <v>128</v>
      </c>
      <c r="P27" s="7">
        <v>100</v>
      </c>
      <c r="Q27" s="7" t="s">
        <v>75</v>
      </c>
      <c r="R27" s="21">
        <v>11.68</v>
      </c>
      <c r="S27" s="21">
        <v>1051.2</v>
      </c>
      <c r="T27" s="21">
        <v>562.5</v>
      </c>
      <c r="U27" s="21" t="str">
        <f>IFERROR(VLOOKUP(salesHistory[[#This Row],[order_no]],orderHistory[],22,FALSE),"")</f>
        <v>SALE</v>
      </c>
    </row>
    <row r="28" spans="1:29">
      <c r="A28" s="7">
        <v>7</v>
      </c>
      <c r="B28" s="199" t="s">
        <v>161</v>
      </c>
      <c r="C28" s="200" t="s">
        <v>162</v>
      </c>
      <c r="D28" s="7">
        <v>200</v>
      </c>
      <c r="E28" s="72">
        <v>12.5</v>
      </c>
      <c r="H28" s="7">
        <v>243</v>
      </c>
      <c r="I28" s="7">
        <v>9</v>
      </c>
      <c r="J28" s="7">
        <v>0</v>
      </c>
      <c r="K28" s="7">
        <v>11</v>
      </c>
      <c r="L28" s="7">
        <v>174.98499999999999</v>
      </c>
      <c r="M28" s="7">
        <v>182.73749999999998</v>
      </c>
      <c r="N28" s="7">
        <v>0.14414583333333333</v>
      </c>
      <c r="O28" s="7" t="s">
        <v>128</v>
      </c>
      <c r="P28" s="7">
        <v>100</v>
      </c>
      <c r="Q28" s="7" t="s">
        <v>75</v>
      </c>
      <c r="R28" s="21">
        <v>11.68</v>
      </c>
      <c r="S28" s="21">
        <v>5174.24</v>
      </c>
      <c r="T28" s="21">
        <v>2500</v>
      </c>
      <c r="U28" s="21" t="str">
        <f>IFERROR(VLOOKUP(salesHistory[[#This Row],[order_no]],orderHistory[],22,FALSE),"")</f>
        <v>SALE</v>
      </c>
    </row>
    <row r="29" spans="1:29">
      <c r="A29" s="439">
        <v>7</v>
      </c>
      <c r="B29" s="440" t="s">
        <v>163</v>
      </c>
      <c r="C29" s="441" t="s">
        <v>164</v>
      </c>
      <c r="D29" s="439">
        <v>200</v>
      </c>
      <c r="E29" s="442">
        <v>12.5</v>
      </c>
      <c r="F29" s="443"/>
      <c r="G29" s="442"/>
      <c r="H29" s="439">
        <v>243</v>
      </c>
      <c r="I29" s="439">
        <v>9</v>
      </c>
      <c r="J29" s="439">
        <v>0</v>
      </c>
      <c r="K29" s="439">
        <v>11</v>
      </c>
      <c r="L29" s="439">
        <v>174.98499999999999</v>
      </c>
      <c r="M29" s="439">
        <v>182.73749999999998</v>
      </c>
      <c r="N29" s="439">
        <v>0.14414583333333333</v>
      </c>
      <c r="O29" s="439" t="s">
        <v>128</v>
      </c>
      <c r="P29" s="439">
        <v>100</v>
      </c>
      <c r="Q29" s="439" t="s">
        <v>75</v>
      </c>
      <c r="R29" s="444">
        <v>11.68</v>
      </c>
      <c r="S29" s="444">
        <v>5174.24</v>
      </c>
      <c r="T29" s="444">
        <v>2500</v>
      </c>
      <c r="U29" s="444" t="str">
        <f>IFERROR(VLOOKUP(salesHistory[[#This Row],[order_no]],orderHistory[],22,FALSE),"")</f>
        <v>SALE</v>
      </c>
    </row>
    <row r="30" spans="1:29">
      <c r="A30" s="7">
        <v>8</v>
      </c>
      <c r="B30" s="199" t="s">
        <v>111</v>
      </c>
      <c r="C30" s="200" t="s">
        <v>112</v>
      </c>
      <c r="D30" s="7">
        <v>24</v>
      </c>
      <c r="E30" s="72">
        <v>5.78</v>
      </c>
      <c r="H30" s="7">
        <v>2</v>
      </c>
      <c r="I30" s="7">
        <v>1</v>
      </c>
      <c r="J30" s="7">
        <v>0</v>
      </c>
      <c r="K30" s="7">
        <v>1</v>
      </c>
      <c r="L30" s="7">
        <v>8.1466666666666665</v>
      </c>
      <c r="M30" s="7">
        <v>8.9158333333333335</v>
      </c>
      <c r="N30" s="7">
        <v>2.2446000000000001E-2</v>
      </c>
      <c r="O30" s="7" t="s">
        <v>74</v>
      </c>
      <c r="P30" s="7">
        <v>100</v>
      </c>
      <c r="Q30" s="7" t="s">
        <v>75</v>
      </c>
      <c r="R30" s="21">
        <v>5</v>
      </c>
      <c r="S30" s="21">
        <v>130</v>
      </c>
      <c r="T30" s="21">
        <v>138.72</v>
      </c>
      <c r="U30" s="21" t="str">
        <f>IFERROR(VLOOKUP(salesHistory[[#This Row],[order_no]],orderHistory[],22,FALSE),"")</f>
        <v>SALE</v>
      </c>
    </row>
    <row r="31" spans="1:29">
      <c r="A31" s="7">
        <v>8</v>
      </c>
      <c r="B31" s="199" t="s">
        <v>113</v>
      </c>
      <c r="C31" s="200" t="s">
        <v>114</v>
      </c>
      <c r="D31" s="7">
        <v>24</v>
      </c>
      <c r="E31" s="72">
        <v>5.78</v>
      </c>
      <c r="H31" s="7">
        <v>2</v>
      </c>
      <c r="I31" s="7">
        <v>1</v>
      </c>
      <c r="J31" s="7">
        <v>0</v>
      </c>
      <c r="K31" s="7">
        <v>1</v>
      </c>
      <c r="L31" s="7">
        <v>8.1466666666666665</v>
      </c>
      <c r="M31" s="7">
        <v>8.9158333333333335</v>
      </c>
      <c r="N31" s="7">
        <v>2.2446000000000001E-2</v>
      </c>
      <c r="O31" s="7" t="s">
        <v>74</v>
      </c>
      <c r="P31" s="7">
        <v>100</v>
      </c>
      <c r="Q31" s="7" t="s">
        <v>75</v>
      </c>
      <c r="R31" s="21">
        <v>5</v>
      </c>
      <c r="S31" s="21">
        <v>130</v>
      </c>
      <c r="T31" s="21">
        <v>138.72</v>
      </c>
      <c r="U31" s="21" t="str">
        <f>IFERROR(VLOOKUP(salesHistory[[#This Row],[order_no]],orderHistory[],22,FALSE),"")</f>
        <v>SALE</v>
      </c>
    </row>
    <row r="32" spans="1:29">
      <c r="A32" s="7">
        <v>8</v>
      </c>
      <c r="B32" s="199" t="s">
        <v>115</v>
      </c>
      <c r="C32" s="200" t="s">
        <v>116</v>
      </c>
      <c r="D32" s="7">
        <v>24</v>
      </c>
      <c r="E32" s="72">
        <v>5.78</v>
      </c>
      <c r="H32" s="7">
        <v>2</v>
      </c>
      <c r="I32" s="7">
        <v>1</v>
      </c>
      <c r="J32" s="7">
        <v>0</v>
      </c>
      <c r="K32" s="7">
        <v>1</v>
      </c>
      <c r="L32" s="7">
        <v>8.1466666666666665</v>
      </c>
      <c r="M32" s="7">
        <v>8.9158333333333335</v>
      </c>
      <c r="N32" s="7">
        <v>2.2446000000000001E-2</v>
      </c>
      <c r="O32" s="7" t="s">
        <v>74</v>
      </c>
      <c r="P32" s="7">
        <v>100</v>
      </c>
      <c r="Q32" s="7" t="s">
        <v>75</v>
      </c>
      <c r="R32" s="21">
        <v>5</v>
      </c>
      <c r="S32" s="21">
        <v>130</v>
      </c>
      <c r="T32" s="21">
        <v>138.72</v>
      </c>
      <c r="U32" s="21" t="str">
        <f>IFERROR(VLOOKUP(salesHistory[[#This Row],[order_no]],orderHistory[],22,FALSE),"")</f>
        <v>SALE</v>
      </c>
    </row>
    <row r="33" spans="1:21">
      <c r="A33" s="7">
        <v>8</v>
      </c>
      <c r="B33" s="199" t="s">
        <v>117</v>
      </c>
      <c r="C33" s="200" t="s">
        <v>118</v>
      </c>
      <c r="D33" s="7">
        <v>24</v>
      </c>
      <c r="E33" s="72">
        <v>5.78</v>
      </c>
      <c r="H33" s="7">
        <v>2</v>
      </c>
      <c r="I33" s="7">
        <v>1</v>
      </c>
      <c r="J33" s="7">
        <v>0</v>
      </c>
      <c r="K33" s="7">
        <v>1</v>
      </c>
      <c r="L33" s="7">
        <v>8.1466666666666665</v>
      </c>
      <c r="M33" s="7">
        <v>8.9158333333333335</v>
      </c>
      <c r="N33" s="7">
        <v>2.2446000000000001E-2</v>
      </c>
      <c r="O33" s="7" t="s">
        <v>74</v>
      </c>
      <c r="P33" s="7">
        <v>100</v>
      </c>
      <c r="Q33" s="7" t="s">
        <v>75</v>
      </c>
      <c r="R33" s="21">
        <v>5</v>
      </c>
      <c r="S33" s="21">
        <v>130</v>
      </c>
      <c r="T33" s="21">
        <v>138.72</v>
      </c>
      <c r="U33" s="21" t="str">
        <f>IFERROR(VLOOKUP(salesHistory[[#This Row],[order_no]],orderHistory[],22,FALSE),"")</f>
        <v>SALE</v>
      </c>
    </row>
    <row r="34" spans="1:21">
      <c r="A34" s="7">
        <v>8</v>
      </c>
      <c r="B34" s="199" t="s">
        <v>119</v>
      </c>
      <c r="C34" s="200" t="s">
        <v>120</v>
      </c>
      <c r="D34" s="7">
        <v>24</v>
      </c>
      <c r="E34" s="72">
        <v>5.78</v>
      </c>
      <c r="H34" s="7">
        <v>2</v>
      </c>
      <c r="I34" s="7">
        <v>1</v>
      </c>
      <c r="J34" s="7">
        <v>0</v>
      </c>
      <c r="K34" s="7">
        <v>1</v>
      </c>
      <c r="L34" s="7">
        <v>7.4424999999999999</v>
      </c>
      <c r="M34" s="7">
        <v>8.19</v>
      </c>
      <c r="N34" s="7">
        <v>2.5155E-2</v>
      </c>
      <c r="O34" s="7" t="s">
        <v>74</v>
      </c>
      <c r="P34" s="7">
        <v>100</v>
      </c>
      <c r="Q34" s="7" t="s">
        <v>75</v>
      </c>
      <c r="R34" s="21">
        <v>5</v>
      </c>
      <c r="S34" s="21">
        <v>130</v>
      </c>
      <c r="T34" s="21">
        <v>138.72</v>
      </c>
      <c r="U34" s="21" t="str">
        <f>IFERROR(VLOOKUP(salesHistory[[#This Row],[order_no]],orderHistory[],22,FALSE),"")</f>
        <v>SALE</v>
      </c>
    </row>
    <row r="35" spans="1:21">
      <c r="A35" s="7">
        <v>8</v>
      </c>
      <c r="B35" s="199" t="s">
        <v>121</v>
      </c>
      <c r="C35" s="200" t="s">
        <v>122</v>
      </c>
      <c r="D35" s="7">
        <v>24</v>
      </c>
      <c r="E35" s="72">
        <v>5.78</v>
      </c>
      <c r="H35" s="7">
        <v>2</v>
      </c>
      <c r="I35" s="7">
        <v>1</v>
      </c>
      <c r="J35" s="7">
        <v>0</v>
      </c>
      <c r="K35" s="7">
        <v>1</v>
      </c>
      <c r="L35" s="7">
        <v>7.4424999999999999</v>
      </c>
      <c r="M35" s="7">
        <v>8.19</v>
      </c>
      <c r="N35" s="7">
        <v>2.5155E-2</v>
      </c>
      <c r="O35" s="7" t="s">
        <v>74</v>
      </c>
      <c r="P35" s="7">
        <v>100</v>
      </c>
      <c r="Q35" s="7" t="s">
        <v>75</v>
      </c>
      <c r="R35" s="21">
        <v>5</v>
      </c>
      <c r="S35" s="21">
        <v>130</v>
      </c>
      <c r="T35" s="21">
        <v>138.72</v>
      </c>
      <c r="U35" s="21" t="str">
        <f>IFERROR(VLOOKUP(salesHistory[[#This Row],[order_no]],orderHistory[],22,FALSE),"")</f>
        <v>SALE</v>
      </c>
    </row>
    <row r="36" spans="1:21">
      <c r="A36" s="439">
        <v>8</v>
      </c>
      <c r="B36" s="440" t="s">
        <v>127</v>
      </c>
      <c r="C36" s="441" t="s">
        <v>129</v>
      </c>
      <c r="D36" s="439">
        <v>48</v>
      </c>
      <c r="E36" s="442">
        <v>15.55</v>
      </c>
      <c r="F36" s="443"/>
      <c r="G36" s="442"/>
      <c r="H36" s="439"/>
      <c r="I36" s="439">
        <v>2</v>
      </c>
      <c r="J36" s="439">
        <v>0</v>
      </c>
      <c r="K36" s="439">
        <v>0</v>
      </c>
      <c r="L36" s="439">
        <v>18.96</v>
      </c>
      <c r="M36" s="439">
        <v>19.8</v>
      </c>
      <c r="N36" s="439">
        <v>3.4595000000000001E-2</v>
      </c>
      <c r="O36" s="439" t="s">
        <v>128</v>
      </c>
      <c r="P36" s="439">
        <v>100</v>
      </c>
      <c r="Q36" s="439" t="s">
        <v>75</v>
      </c>
      <c r="R36" s="444">
        <v>11.68</v>
      </c>
      <c r="S36" s="444">
        <v>560.64</v>
      </c>
      <c r="T36" s="444">
        <v>746.40000000000009</v>
      </c>
      <c r="U36" s="21" t="str">
        <f>IFERROR(VLOOKUP(salesHistory[[#This Row],[order_no]],orderHistory[],22,FALSE),"")</f>
        <v>SALE</v>
      </c>
    </row>
    <row r="37" spans="1:21">
      <c r="A37" s="7">
        <v>8</v>
      </c>
      <c r="B37" s="199" t="s">
        <v>134</v>
      </c>
      <c r="C37" s="200" t="s">
        <v>135</v>
      </c>
      <c r="D37" s="7">
        <v>24</v>
      </c>
      <c r="E37" s="72">
        <v>15.55</v>
      </c>
      <c r="H37" s="7"/>
      <c r="I37" s="7">
        <v>1</v>
      </c>
      <c r="J37" s="7">
        <v>0</v>
      </c>
      <c r="K37" s="7">
        <v>0</v>
      </c>
      <c r="L37" s="7">
        <v>9.48</v>
      </c>
      <c r="M37" s="7">
        <v>9.9</v>
      </c>
      <c r="N37" s="7">
        <v>1.72975E-2</v>
      </c>
      <c r="O37" s="7" t="s">
        <v>128</v>
      </c>
      <c r="P37" s="7">
        <v>100</v>
      </c>
      <c r="Q37" s="7" t="s">
        <v>75</v>
      </c>
      <c r="R37" s="21">
        <v>11.68</v>
      </c>
      <c r="S37" s="21">
        <v>280.32</v>
      </c>
      <c r="T37" s="21">
        <v>373.20000000000005</v>
      </c>
      <c r="U37" s="21" t="str">
        <f>IFERROR(VLOOKUP(salesHistory[[#This Row],[order_no]],orderHistory[],22,FALSE),"")</f>
        <v>SALE</v>
      </c>
    </row>
    <row r="38" spans="1:21">
      <c r="A38" s="7">
        <v>8</v>
      </c>
      <c r="B38" s="199" t="s">
        <v>161</v>
      </c>
      <c r="C38" s="200" t="s">
        <v>162</v>
      </c>
      <c r="D38" s="7">
        <v>24</v>
      </c>
      <c r="E38" s="72">
        <v>15.55</v>
      </c>
      <c r="H38" s="7">
        <v>6</v>
      </c>
      <c r="I38" s="7">
        <v>1</v>
      </c>
      <c r="J38" s="7">
        <v>0</v>
      </c>
      <c r="K38" s="7">
        <v>1</v>
      </c>
      <c r="L38" s="7">
        <v>11.850000000000001</v>
      </c>
      <c r="M38" s="7">
        <v>12.375</v>
      </c>
      <c r="N38" s="7">
        <v>1.72975E-2</v>
      </c>
      <c r="O38" s="7" t="s">
        <v>128</v>
      </c>
      <c r="P38" s="7">
        <v>100</v>
      </c>
      <c r="Q38" s="7" t="s">
        <v>75</v>
      </c>
      <c r="R38" s="21">
        <v>11.68</v>
      </c>
      <c r="S38" s="21">
        <v>350.4</v>
      </c>
      <c r="T38" s="21">
        <v>373.20000000000005</v>
      </c>
      <c r="U38" s="21" t="str">
        <f>IFERROR(VLOOKUP(salesHistory[[#This Row],[order_no]],orderHistory[],22,FALSE),"")</f>
        <v>SALE</v>
      </c>
    </row>
    <row r="39" spans="1:21">
      <c r="A39" s="7">
        <v>8</v>
      </c>
      <c r="B39" s="199" t="s">
        <v>163</v>
      </c>
      <c r="C39" s="200" t="s">
        <v>164</v>
      </c>
      <c r="D39" s="7">
        <v>24</v>
      </c>
      <c r="E39" s="72">
        <v>15.55</v>
      </c>
      <c r="H39" s="7">
        <v>6</v>
      </c>
      <c r="I39" s="7">
        <v>1</v>
      </c>
      <c r="J39" s="7">
        <v>0</v>
      </c>
      <c r="K39" s="7">
        <v>1</v>
      </c>
      <c r="L39" s="7">
        <v>11.850000000000001</v>
      </c>
      <c r="M39" s="7">
        <v>12.375</v>
      </c>
      <c r="N39" s="7">
        <v>1.72975E-2</v>
      </c>
      <c r="O39" s="7" t="s">
        <v>128</v>
      </c>
      <c r="P39" s="7">
        <v>100</v>
      </c>
      <c r="Q39" s="7" t="s">
        <v>75</v>
      </c>
      <c r="R39" s="21">
        <v>11.68</v>
      </c>
      <c r="S39" s="21">
        <v>350.4</v>
      </c>
      <c r="T39" s="21">
        <v>373.20000000000005</v>
      </c>
      <c r="U39" s="21" t="str">
        <f>IFERROR(VLOOKUP(salesHistory[[#This Row],[order_no]],orderHistory[],22,FALSE),"")</f>
        <v>SALE</v>
      </c>
    </row>
    <row r="40" spans="1:21">
      <c r="A40" s="7">
        <v>8</v>
      </c>
      <c r="B40" s="199" t="s">
        <v>36</v>
      </c>
      <c r="C40" s="200" t="s">
        <v>39</v>
      </c>
      <c r="D40" s="7">
        <v>24</v>
      </c>
      <c r="E40" s="72">
        <v>5.78</v>
      </c>
      <c r="H40" s="7"/>
      <c r="I40" s="7">
        <v>2</v>
      </c>
      <c r="J40" s="7">
        <v>0</v>
      </c>
      <c r="K40" s="7">
        <v>0</v>
      </c>
      <c r="L40" s="7">
        <v>10.08</v>
      </c>
      <c r="M40" s="7">
        <v>11.58</v>
      </c>
      <c r="N40" s="7">
        <v>5.6166000000000001E-2</v>
      </c>
      <c r="O40" s="7" t="s">
        <v>37</v>
      </c>
      <c r="P40" s="7">
        <v>50</v>
      </c>
      <c r="Q40" s="7">
        <v>0</v>
      </c>
      <c r="R40" s="21">
        <v>5.23</v>
      </c>
      <c r="S40" s="21">
        <v>125.52000000000001</v>
      </c>
      <c r="T40" s="21">
        <v>138.72</v>
      </c>
      <c r="U40" s="21" t="str">
        <f>IFERROR(VLOOKUP(salesHistory[[#This Row],[order_no]],orderHistory[],22,FALSE),"")</f>
        <v>SALE</v>
      </c>
    </row>
    <row r="41" spans="1:21">
      <c r="A41" s="7">
        <v>8</v>
      </c>
      <c r="B41" s="199" t="s">
        <v>42</v>
      </c>
      <c r="C41" s="200" t="s">
        <v>43</v>
      </c>
      <c r="D41" s="7">
        <v>12</v>
      </c>
      <c r="E41" s="72">
        <v>2.89</v>
      </c>
      <c r="H41" s="7"/>
      <c r="I41" s="7">
        <v>1</v>
      </c>
      <c r="J41" s="7">
        <v>0</v>
      </c>
      <c r="K41" s="7">
        <v>0</v>
      </c>
      <c r="L41" s="7">
        <v>5.04</v>
      </c>
      <c r="M41" s="7">
        <v>5.79</v>
      </c>
      <c r="N41" s="7">
        <v>2.8083E-2</v>
      </c>
      <c r="O41" s="7" t="s">
        <v>37</v>
      </c>
      <c r="P41" s="7">
        <v>50</v>
      </c>
      <c r="Q41" s="7">
        <v>0</v>
      </c>
      <c r="R41" s="21">
        <v>5.23</v>
      </c>
      <c r="S41" s="21">
        <v>62.760000000000005</v>
      </c>
      <c r="T41" s="21">
        <v>34.68</v>
      </c>
      <c r="U41" s="21" t="str">
        <f>IFERROR(VLOOKUP(salesHistory[[#This Row],[order_no]],orderHistory[],22,FALSE),"")</f>
        <v>SALE</v>
      </c>
    </row>
    <row r="42" spans="1:21">
      <c r="A42" s="7">
        <v>8</v>
      </c>
      <c r="B42" s="199" t="s">
        <v>42</v>
      </c>
      <c r="C42" s="200" t="s">
        <v>43</v>
      </c>
      <c r="D42" s="7">
        <v>12</v>
      </c>
      <c r="E42" s="72">
        <v>5.78</v>
      </c>
      <c r="H42" s="7"/>
      <c r="I42" s="7">
        <v>1</v>
      </c>
      <c r="J42" s="7">
        <v>0</v>
      </c>
      <c r="K42" s="7">
        <v>0</v>
      </c>
      <c r="L42" s="7">
        <v>5.04</v>
      </c>
      <c r="M42" s="7">
        <v>5.79</v>
      </c>
      <c r="N42" s="7">
        <v>2.8083E-2</v>
      </c>
      <c r="O42" s="7" t="s">
        <v>37</v>
      </c>
      <c r="P42" s="7">
        <v>50</v>
      </c>
      <c r="Q42" s="7">
        <v>0</v>
      </c>
      <c r="R42" s="21">
        <v>5.23</v>
      </c>
      <c r="S42" s="21">
        <v>62.760000000000005</v>
      </c>
      <c r="T42" s="21">
        <v>69.36</v>
      </c>
      <c r="U42" s="21" t="str">
        <f>IFERROR(VLOOKUP(salesHistory[[#This Row],[order_no]],orderHistory[],22,FALSE),"")</f>
        <v>SALE</v>
      </c>
    </row>
    <row r="43" spans="1:21">
      <c r="A43" s="7">
        <v>8</v>
      </c>
      <c r="B43" s="199" t="s">
        <v>44</v>
      </c>
      <c r="C43" s="200" t="s">
        <v>45</v>
      </c>
      <c r="D43" s="7">
        <v>24</v>
      </c>
      <c r="E43" s="72">
        <v>5.78</v>
      </c>
      <c r="H43" s="7"/>
      <c r="I43" s="7">
        <v>2</v>
      </c>
      <c r="J43" s="7">
        <v>0</v>
      </c>
      <c r="K43" s="7">
        <v>0</v>
      </c>
      <c r="L43" s="7">
        <v>10.08</v>
      </c>
      <c r="M43" s="7">
        <v>11.58</v>
      </c>
      <c r="N43" s="7">
        <v>5.6166000000000001E-2</v>
      </c>
      <c r="O43" s="7" t="s">
        <v>37</v>
      </c>
      <c r="P43" s="7">
        <v>50</v>
      </c>
      <c r="Q43" s="7">
        <v>0</v>
      </c>
      <c r="R43" s="21">
        <v>5.23</v>
      </c>
      <c r="S43" s="21">
        <v>125.52000000000001</v>
      </c>
      <c r="T43" s="21">
        <v>138.72</v>
      </c>
      <c r="U43" s="21" t="str">
        <f>IFERROR(VLOOKUP(salesHistory[[#This Row],[order_no]],orderHistory[],22,FALSE),"")</f>
        <v>SALE</v>
      </c>
    </row>
    <row r="44" spans="1:21">
      <c r="A44" s="7">
        <v>8</v>
      </c>
      <c r="B44" s="199" t="s">
        <v>46</v>
      </c>
      <c r="C44" s="200" t="s">
        <v>47</v>
      </c>
      <c r="D44" s="7">
        <v>24</v>
      </c>
      <c r="E44" s="72">
        <v>5.78</v>
      </c>
      <c r="H44" s="7"/>
      <c r="I44" s="7">
        <v>2</v>
      </c>
      <c r="J44" s="7">
        <v>0</v>
      </c>
      <c r="K44" s="7">
        <v>0</v>
      </c>
      <c r="L44" s="7">
        <v>10.08</v>
      </c>
      <c r="M44" s="7">
        <v>11.58</v>
      </c>
      <c r="N44" s="7">
        <v>5.6166000000000001E-2</v>
      </c>
      <c r="O44" s="7" t="s">
        <v>37</v>
      </c>
      <c r="P44" s="7">
        <v>50</v>
      </c>
      <c r="Q44" s="7">
        <v>0</v>
      </c>
      <c r="R44" s="21">
        <v>5.23</v>
      </c>
      <c r="S44" s="21">
        <v>125.52000000000001</v>
      </c>
      <c r="T44" s="21">
        <v>138.72</v>
      </c>
      <c r="U44" s="21" t="str">
        <f>IFERROR(VLOOKUP(salesHistory[[#This Row],[order_no]],orderHistory[],22,FALSE),"")</f>
        <v>SALE</v>
      </c>
    </row>
    <row r="45" spans="1:21">
      <c r="A45" s="7">
        <v>8</v>
      </c>
      <c r="B45" s="199" t="s">
        <v>48</v>
      </c>
      <c r="C45" s="200" t="s">
        <v>50</v>
      </c>
      <c r="D45" s="7">
        <v>24</v>
      </c>
      <c r="E45" s="72">
        <v>5.78</v>
      </c>
      <c r="H45" s="7"/>
      <c r="I45" s="7">
        <v>2</v>
      </c>
      <c r="J45" s="7">
        <v>0</v>
      </c>
      <c r="K45" s="7">
        <v>0</v>
      </c>
      <c r="L45" s="7">
        <v>9.56</v>
      </c>
      <c r="M45" s="7">
        <v>10.5</v>
      </c>
      <c r="N45" s="7">
        <v>5.6166000000000001E-2</v>
      </c>
      <c r="O45" s="7" t="s">
        <v>37</v>
      </c>
      <c r="P45" s="7">
        <v>50</v>
      </c>
      <c r="Q45" s="7">
        <v>0</v>
      </c>
      <c r="R45" s="21">
        <v>5.23</v>
      </c>
      <c r="S45" s="21">
        <v>125.52000000000001</v>
      </c>
      <c r="T45" s="21">
        <v>138.72</v>
      </c>
      <c r="U45" s="21" t="str">
        <f>IFERROR(VLOOKUP(salesHistory[[#This Row],[order_no]],orderHistory[],22,FALSE),"")</f>
        <v>SALE</v>
      </c>
    </row>
    <row r="46" spans="1:21">
      <c r="A46" s="439">
        <v>8</v>
      </c>
      <c r="B46" s="440" t="s">
        <v>51</v>
      </c>
      <c r="C46" s="441" t="s">
        <v>52</v>
      </c>
      <c r="D46" s="439">
        <v>24</v>
      </c>
      <c r="E46" s="442">
        <v>5.78</v>
      </c>
      <c r="F46" s="443"/>
      <c r="G46" s="442"/>
      <c r="H46" s="439"/>
      <c r="I46" s="439">
        <v>2</v>
      </c>
      <c r="J46" s="439">
        <v>0</v>
      </c>
      <c r="K46" s="439">
        <v>0</v>
      </c>
      <c r="L46" s="439">
        <v>9.56</v>
      </c>
      <c r="M46" s="439">
        <v>10.5</v>
      </c>
      <c r="N46" s="439">
        <v>5.6166000000000001E-2</v>
      </c>
      <c r="O46" s="439" t="s">
        <v>37</v>
      </c>
      <c r="P46" s="439">
        <v>50</v>
      </c>
      <c r="Q46" s="439">
        <v>0</v>
      </c>
      <c r="R46" s="444">
        <v>5.23</v>
      </c>
      <c r="S46" s="444">
        <v>125.52000000000001</v>
      </c>
      <c r="T46" s="444">
        <v>138.72</v>
      </c>
      <c r="U46" s="444" t="str">
        <f>IFERROR(VLOOKUP(salesHistory[[#This Row],[order_no]],orderHistory[],22,FALSE),"")</f>
        <v>SALE</v>
      </c>
    </row>
    <row r="47" spans="1:21">
      <c r="A47" s="7">
        <v>9</v>
      </c>
      <c r="B47" s="199" t="s">
        <v>111</v>
      </c>
      <c r="C47" s="200" t="s">
        <v>112</v>
      </c>
      <c r="D47" s="7">
        <v>180</v>
      </c>
      <c r="E47" s="72">
        <v>8.11</v>
      </c>
      <c r="H47" s="7">
        <v>18</v>
      </c>
      <c r="I47" s="7">
        <v>8</v>
      </c>
      <c r="J47" s="7">
        <v>0</v>
      </c>
      <c r="K47" s="7">
        <v>1</v>
      </c>
      <c r="L47" s="7">
        <v>62.04</v>
      </c>
      <c r="M47" s="7">
        <v>67.897500000000008</v>
      </c>
      <c r="N47" s="7">
        <v>0.16834499999999999</v>
      </c>
      <c r="O47" s="7" t="s">
        <v>74</v>
      </c>
      <c r="P47" s="7">
        <v>100</v>
      </c>
      <c r="Q47" s="7" t="s">
        <v>75</v>
      </c>
      <c r="R47" s="21">
        <v>5</v>
      </c>
      <c r="S47" s="21">
        <v>990</v>
      </c>
      <c r="T47" s="21">
        <v>1459.8</v>
      </c>
      <c r="U47" s="21" t="str">
        <f>IFERROR(VLOOKUP(salesHistory[[#This Row],[order_no]],orderHistory[],22,FALSE),"")</f>
        <v>SALE</v>
      </c>
    </row>
    <row r="48" spans="1:21">
      <c r="A48" s="7">
        <v>9</v>
      </c>
      <c r="B48" s="199" t="s">
        <v>113</v>
      </c>
      <c r="C48" s="200" t="s">
        <v>114</v>
      </c>
      <c r="D48" s="7">
        <v>108</v>
      </c>
      <c r="E48" s="72">
        <v>8.11</v>
      </c>
      <c r="H48" s="7">
        <v>11</v>
      </c>
      <c r="I48" s="7">
        <v>5</v>
      </c>
      <c r="J48" s="7">
        <v>0</v>
      </c>
      <c r="K48" s="7">
        <v>1</v>
      </c>
      <c r="L48" s="7">
        <v>37.286666666666662</v>
      </c>
      <c r="M48" s="7">
        <v>40.807083333333331</v>
      </c>
      <c r="N48" s="7">
        <v>0.101007</v>
      </c>
      <c r="O48" s="7" t="s">
        <v>74</v>
      </c>
      <c r="P48" s="7">
        <v>100</v>
      </c>
      <c r="Q48" s="7" t="s">
        <v>75</v>
      </c>
      <c r="R48" s="21">
        <v>5</v>
      </c>
      <c r="S48" s="21">
        <v>595</v>
      </c>
      <c r="T48" s="21">
        <v>875.87999999999988</v>
      </c>
      <c r="U48" s="21" t="str">
        <f>IFERROR(VLOOKUP(salesHistory[[#This Row],[order_no]],orderHistory[],22,FALSE),"")</f>
        <v>SALE</v>
      </c>
    </row>
    <row r="49" spans="1:21">
      <c r="A49" s="7">
        <v>9</v>
      </c>
      <c r="B49" s="199" t="s">
        <v>115</v>
      </c>
      <c r="C49" s="200" t="s">
        <v>116</v>
      </c>
      <c r="D49" s="7">
        <v>180</v>
      </c>
      <c r="E49" s="72">
        <v>8.11</v>
      </c>
      <c r="H49" s="7">
        <v>18</v>
      </c>
      <c r="I49" s="7">
        <v>8</v>
      </c>
      <c r="J49" s="7">
        <v>0</v>
      </c>
      <c r="K49" s="7">
        <v>1</v>
      </c>
      <c r="L49" s="7">
        <v>62.04</v>
      </c>
      <c r="M49" s="7">
        <v>67.897500000000008</v>
      </c>
      <c r="N49" s="7">
        <v>0.16834499999999999</v>
      </c>
      <c r="O49" s="7" t="s">
        <v>74</v>
      </c>
      <c r="P49" s="7">
        <v>100</v>
      </c>
      <c r="Q49" s="7" t="s">
        <v>75</v>
      </c>
      <c r="R49" s="21">
        <v>5</v>
      </c>
      <c r="S49" s="21">
        <v>990</v>
      </c>
      <c r="T49" s="21">
        <v>1459.8</v>
      </c>
      <c r="U49" s="21" t="str">
        <f>IFERROR(VLOOKUP(salesHistory[[#This Row],[order_no]],orderHistory[],22,FALSE),"")</f>
        <v>SALE</v>
      </c>
    </row>
    <row r="50" spans="1:21">
      <c r="A50" s="7">
        <v>9</v>
      </c>
      <c r="B50" s="199" t="s">
        <v>117</v>
      </c>
      <c r="C50" s="200" t="s">
        <v>118</v>
      </c>
      <c r="D50" s="7">
        <v>108</v>
      </c>
      <c r="E50" s="72">
        <v>8.11</v>
      </c>
      <c r="H50" s="7">
        <v>11</v>
      </c>
      <c r="I50" s="7">
        <v>5</v>
      </c>
      <c r="J50" s="7">
        <v>0</v>
      </c>
      <c r="K50" s="7">
        <v>1</v>
      </c>
      <c r="L50" s="7">
        <v>37.286666666666662</v>
      </c>
      <c r="M50" s="7">
        <v>40.807083333333331</v>
      </c>
      <c r="N50" s="7">
        <v>0.101007</v>
      </c>
      <c r="O50" s="7" t="s">
        <v>74</v>
      </c>
      <c r="P50" s="7">
        <v>100</v>
      </c>
      <c r="Q50" s="7" t="s">
        <v>75</v>
      </c>
      <c r="R50" s="21">
        <v>5</v>
      </c>
      <c r="S50" s="21">
        <v>595</v>
      </c>
      <c r="T50" s="21">
        <v>875.87999999999988</v>
      </c>
      <c r="U50" s="21" t="str">
        <f>IFERROR(VLOOKUP(salesHistory[[#This Row],[order_no]],orderHistory[],22,FALSE),"")</f>
        <v>SALE</v>
      </c>
    </row>
    <row r="51" spans="1:21">
      <c r="A51" s="7">
        <v>9</v>
      </c>
      <c r="B51" s="199" t="s">
        <v>119</v>
      </c>
      <c r="C51" s="200" t="s">
        <v>120</v>
      </c>
      <c r="D51" s="7">
        <v>180</v>
      </c>
      <c r="E51" s="72">
        <v>8.11</v>
      </c>
      <c r="H51" s="7">
        <v>18</v>
      </c>
      <c r="I51" s="7">
        <v>8</v>
      </c>
      <c r="J51" s="7">
        <v>0</v>
      </c>
      <c r="K51" s="7">
        <v>1</v>
      </c>
      <c r="L51" s="7">
        <v>56.677500000000002</v>
      </c>
      <c r="M51" s="7">
        <v>62.37</v>
      </c>
      <c r="N51" s="7">
        <v>0.18866250000000001</v>
      </c>
      <c r="O51" s="7" t="s">
        <v>74</v>
      </c>
      <c r="P51" s="7">
        <v>100</v>
      </c>
      <c r="Q51" s="7" t="s">
        <v>75</v>
      </c>
      <c r="R51" s="21">
        <v>5</v>
      </c>
      <c r="S51" s="21">
        <v>990</v>
      </c>
      <c r="T51" s="21">
        <v>1459.8</v>
      </c>
      <c r="U51" s="21" t="str">
        <f>IFERROR(VLOOKUP(salesHistory[[#This Row],[order_no]],orderHistory[],22,FALSE),"")</f>
        <v>SALE</v>
      </c>
    </row>
    <row r="52" spans="1:21">
      <c r="A52" s="7">
        <v>9</v>
      </c>
      <c r="B52" s="199" t="s">
        <v>121</v>
      </c>
      <c r="C52" s="200" t="s">
        <v>122</v>
      </c>
      <c r="D52" s="7">
        <v>180</v>
      </c>
      <c r="E52" s="72">
        <v>8.11</v>
      </c>
      <c r="H52" s="7">
        <v>18</v>
      </c>
      <c r="I52" s="7">
        <v>8</v>
      </c>
      <c r="J52" s="7">
        <v>0</v>
      </c>
      <c r="K52" s="7">
        <v>1</v>
      </c>
      <c r="L52" s="7">
        <v>56.677500000000002</v>
      </c>
      <c r="M52" s="7">
        <v>62.37</v>
      </c>
      <c r="N52" s="7">
        <v>0.18866250000000001</v>
      </c>
      <c r="O52" s="7" t="s">
        <v>74</v>
      </c>
      <c r="P52" s="7">
        <v>100</v>
      </c>
      <c r="Q52" s="7" t="s">
        <v>75</v>
      </c>
      <c r="R52" s="21">
        <v>5</v>
      </c>
      <c r="S52" s="21">
        <v>990</v>
      </c>
      <c r="T52" s="21">
        <v>1459.8</v>
      </c>
      <c r="U52" s="21" t="str">
        <f>IFERROR(VLOOKUP(salesHistory[[#This Row],[order_no]],orderHistory[],22,FALSE),"")</f>
        <v>SALE</v>
      </c>
    </row>
    <row r="53" spans="1:21">
      <c r="A53" s="7">
        <v>9</v>
      </c>
      <c r="B53" s="199" t="s">
        <v>123</v>
      </c>
      <c r="C53" s="200" t="s">
        <v>124</v>
      </c>
      <c r="D53" s="7">
        <v>154</v>
      </c>
      <c r="E53" s="72">
        <v>8.11</v>
      </c>
      <c r="H53" s="7">
        <v>15</v>
      </c>
      <c r="I53" s="7">
        <v>7</v>
      </c>
      <c r="J53" s="7">
        <v>0</v>
      </c>
      <c r="K53" s="7">
        <v>1</v>
      </c>
      <c r="L53" s="7">
        <v>48.376250000000006</v>
      </c>
      <c r="M53" s="7">
        <v>53.234999999999999</v>
      </c>
      <c r="N53" s="7">
        <v>0.16141125000000003</v>
      </c>
      <c r="O53" s="7" t="s">
        <v>74</v>
      </c>
      <c r="P53" s="7">
        <v>100</v>
      </c>
      <c r="Q53" s="7" t="s">
        <v>75</v>
      </c>
      <c r="R53" s="21">
        <v>5</v>
      </c>
      <c r="S53" s="21">
        <v>845</v>
      </c>
      <c r="T53" s="21">
        <v>1248.9399999999998</v>
      </c>
      <c r="U53" s="21" t="str">
        <f>IFERROR(VLOOKUP(salesHistory[[#This Row],[order_no]],orderHistory[],22,FALSE),"")</f>
        <v>SALE</v>
      </c>
    </row>
    <row r="54" spans="1:21">
      <c r="A54" s="7">
        <v>9</v>
      </c>
      <c r="B54" s="199" t="s">
        <v>125</v>
      </c>
      <c r="C54" s="200" t="s">
        <v>126</v>
      </c>
      <c r="D54" s="7">
        <v>154</v>
      </c>
      <c r="E54" s="72">
        <v>8.11</v>
      </c>
      <c r="H54" s="7">
        <v>15</v>
      </c>
      <c r="I54" s="7">
        <v>7</v>
      </c>
      <c r="J54" s="7">
        <v>0</v>
      </c>
      <c r="K54" s="7">
        <v>1</v>
      </c>
      <c r="L54" s="7">
        <v>48.376250000000006</v>
      </c>
      <c r="M54" s="7">
        <v>53.234999999999999</v>
      </c>
      <c r="N54" s="7">
        <v>0.16141125000000003</v>
      </c>
      <c r="O54" s="7" t="s">
        <v>74</v>
      </c>
      <c r="P54" s="7">
        <v>100</v>
      </c>
      <c r="Q54" s="7" t="s">
        <v>75</v>
      </c>
      <c r="R54" s="21">
        <v>5</v>
      </c>
      <c r="S54" s="21">
        <v>845</v>
      </c>
      <c r="T54" s="21">
        <v>1248.9399999999998</v>
      </c>
      <c r="U54" s="21" t="str">
        <f>IFERROR(VLOOKUP(salesHistory[[#This Row],[order_no]],orderHistory[],22,FALSE),"")</f>
        <v>SALE</v>
      </c>
    </row>
    <row r="55" spans="1:21">
      <c r="A55" s="7">
        <v>9</v>
      </c>
      <c r="B55" s="199" t="s">
        <v>127</v>
      </c>
      <c r="C55" s="200" t="s">
        <v>129</v>
      </c>
      <c r="D55" s="7">
        <v>60</v>
      </c>
      <c r="E55" s="72">
        <v>18.920000000000002</v>
      </c>
      <c r="H55" s="7">
        <v>6</v>
      </c>
      <c r="I55" s="7">
        <v>3</v>
      </c>
      <c r="J55" s="7">
        <v>0</v>
      </c>
      <c r="K55" s="7">
        <v>1</v>
      </c>
      <c r="L55" s="7">
        <v>26.07</v>
      </c>
      <c r="M55" s="7">
        <v>27.225000000000001</v>
      </c>
      <c r="N55" s="7">
        <v>4.3243749999999997E-2</v>
      </c>
      <c r="O55" s="7" t="s">
        <v>128</v>
      </c>
      <c r="P55" s="7">
        <v>100</v>
      </c>
      <c r="Q55" s="7" t="s">
        <v>75</v>
      </c>
      <c r="R55" s="21">
        <v>11.68</v>
      </c>
      <c r="S55" s="21">
        <v>770.88</v>
      </c>
      <c r="T55" s="21">
        <v>1135.2</v>
      </c>
      <c r="U55" s="21" t="str">
        <f>IFERROR(VLOOKUP(salesHistory[[#This Row],[order_no]],orderHistory[],22,FALSE),"")</f>
        <v>SALE</v>
      </c>
    </row>
    <row r="56" spans="1:21">
      <c r="A56" s="7">
        <v>9</v>
      </c>
      <c r="B56" s="199" t="s">
        <v>134</v>
      </c>
      <c r="C56" s="200" t="s">
        <v>135</v>
      </c>
      <c r="D56" s="7">
        <v>60</v>
      </c>
      <c r="E56" s="72">
        <v>18.920000000000002</v>
      </c>
      <c r="H56" s="7">
        <v>6</v>
      </c>
      <c r="I56" s="7">
        <v>3</v>
      </c>
      <c r="J56" s="7">
        <v>0</v>
      </c>
      <c r="K56" s="7">
        <v>1</v>
      </c>
      <c r="L56" s="7">
        <v>26.07</v>
      </c>
      <c r="M56" s="7">
        <v>27.225000000000001</v>
      </c>
      <c r="N56" s="7">
        <v>4.3243749999999997E-2</v>
      </c>
      <c r="O56" s="7" t="s">
        <v>128</v>
      </c>
      <c r="P56" s="7">
        <v>100</v>
      </c>
      <c r="Q56" s="7" t="s">
        <v>75</v>
      </c>
      <c r="R56" s="21">
        <v>11.68</v>
      </c>
      <c r="S56" s="21">
        <v>770.88</v>
      </c>
      <c r="T56" s="21">
        <v>1135.2</v>
      </c>
      <c r="U56" s="21" t="str">
        <f>IFERROR(VLOOKUP(salesHistory[[#This Row],[order_no]],orderHistory[],22,FALSE),"")</f>
        <v>SALE</v>
      </c>
    </row>
    <row r="57" spans="1:21">
      <c r="A57" s="7">
        <v>9</v>
      </c>
      <c r="B57" s="199" t="s">
        <v>136</v>
      </c>
      <c r="C57" s="200" t="s">
        <v>137</v>
      </c>
      <c r="D57" s="7">
        <v>60</v>
      </c>
      <c r="E57" s="72">
        <v>18.920000000000002</v>
      </c>
      <c r="H57" s="7">
        <v>6</v>
      </c>
      <c r="I57" s="7">
        <v>3</v>
      </c>
      <c r="J57" s="7">
        <v>0</v>
      </c>
      <c r="K57" s="7">
        <v>1</v>
      </c>
      <c r="L57" s="7">
        <v>25.08</v>
      </c>
      <c r="M57" s="7">
        <v>26.125</v>
      </c>
      <c r="N57" s="7">
        <v>4.3828125000000002E-2</v>
      </c>
      <c r="O57" s="7" t="s">
        <v>128</v>
      </c>
      <c r="P57" s="7">
        <v>100</v>
      </c>
      <c r="Q57" s="7" t="s">
        <v>75</v>
      </c>
      <c r="R57" s="21">
        <v>11.68</v>
      </c>
      <c r="S57" s="21">
        <v>770.88</v>
      </c>
      <c r="T57" s="21">
        <v>1135.2</v>
      </c>
      <c r="U57" s="21" t="str">
        <f>IFERROR(VLOOKUP(salesHistory[[#This Row],[order_no]],orderHistory[],22,FALSE),"")</f>
        <v>SALE</v>
      </c>
    </row>
    <row r="58" spans="1:21">
      <c r="A58" s="7">
        <v>9</v>
      </c>
      <c r="B58" s="199" t="s">
        <v>138</v>
      </c>
      <c r="C58" s="200" t="s">
        <v>139</v>
      </c>
      <c r="D58" s="7">
        <v>60</v>
      </c>
      <c r="E58" s="72">
        <v>18.920000000000002</v>
      </c>
      <c r="H58" s="7">
        <v>6</v>
      </c>
      <c r="I58" s="7">
        <v>3</v>
      </c>
      <c r="J58" s="7">
        <v>0</v>
      </c>
      <c r="K58" s="7">
        <v>1</v>
      </c>
      <c r="L58" s="7">
        <v>25.08</v>
      </c>
      <c r="M58" s="7">
        <v>26.125</v>
      </c>
      <c r="N58" s="7">
        <v>4.3828125000000002E-2</v>
      </c>
      <c r="O58" s="7" t="s">
        <v>128</v>
      </c>
      <c r="P58" s="7">
        <v>100</v>
      </c>
      <c r="Q58" s="7" t="s">
        <v>75</v>
      </c>
      <c r="R58" s="21">
        <v>11.68</v>
      </c>
      <c r="S58" s="21">
        <v>770.88</v>
      </c>
      <c r="T58" s="21">
        <v>1135.2</v>
      </c>
      <c r="U58" s="21" t="str">
        <f>IFERROR(VLOOKUP(salesHistory[[#This Row],[order_no]],orderHistory[],22,FALSE),"")</f>
        <v>SALE</v>
      </c>
    </row>
    <row r="59" spans="1:21">
      <c r="A59" s="7">
        <v>9</v>
      </c>
      <c r="B59" s="199" t="s">
        <v>140</v>
      </c>
      <c r="C59" s="200" t="s">
        <v>141</v>
      </c>
      <c r="D59" s="7">
        <v>60</v>
      </c>
      <c r="E59" s="72">
        <v>18.920000000000002</v>
      </c>
      <c r="H59" s="7">
        <v>6</v>
      </c>
      <c r="I59" s="7">
        <v>3</v>
      </c>
      <c r="J59" s="7">
        <v>0</v>
      </c>
      <c r="K59" s="7">
        <v>1</v>
      </c>
      <c r="L59" s="7">
        <v>25.08</v>
      </c>
      <c r="M59" s="7">
        <v>26.125</v>
      </c>
      <c r="N59" s="7">
        <v>4.3828125000000002E-2</v>
      </c>
      <c r="O59" s="7" t="s">
        <v>128</v>
      </c>
      <c r="P59" s="7">
        <v>100</v>
      </c>
      <c r="Q59" s="7" t="s">
        <v>75</v>
      </c>
      <c r="R59" s="21">
        <v>11.68</v>
      </c>
      <c r="S59" s="21">
        <v>770.88</v>
      </c>
      <c r="T59" s="21">
        <v>1135.2</v>
      </c>
      <c r="U59" s="21" t="str">
        <f>IFERROR(VLOOKUP(salesHistory[[#This Row],[order_no]],orderHistory[],22,FALSE),"")</f>
        <v>SALE</v>
      </c>
    </row>
    <row r="60" spans="1:21">
      <c r="A60" s="7">
        <v>9</v>
      </c>
      <c r="B60" s="199" t="s">
        <v>142</v>
      </c>
      <c r="C60" s="200" t="s">
        <v>143</v>
      </c>
      <c r="D60" s="7">
        <v>120</v>
      </c>
      <c r="E60" s="72">
        <v>18.920000000000002</v>
      </c>
      <c r="H60" s="7">
        <v>12</v>
      </c>
      <c r="I60" s="7">
        <v>5</v>
      </c>
      <c r="J60" s="7">
        <v>0</v>
      </c>
      <c r="K60" s="7">
        <v>1</v>
      </c>
      <c r="L60" s="7">
        <v>50.16</v>
      </c>
      <c r="M60" s="7">
        <v>52.25</v>
      </c>
      <c r="N60" s="7">
        <v>8.7656250000000005E-2</v>
      </c>
      <c r="O60" s="7" t="s">
        <v>128</v>
      </c>
      <c r="P60" s="7">
        <v>100</v>
      </c>
      <c r="Q60" s="7" t="s">
        <v>75</v>
      </c>
      <c r="R60" s="21">
        <v>11.68</v>
      </c>
      <c r="S60" s="21">
        <v>1541.76</v>
      </c>
      <c r="T60" s="21">
        <v>2270.4</v>
      </c>
      <c r="U60" s="21" t="str">
        <f>IFERROR(VLOOKUP(salesHistory[[#This Row],[order_no]],orderHistory[],22,FALSE),"")</f>
        <v>SALE</v>
      </c>
    </row>
    <row r="61" spans="1:21">
      <c r="A61" s="7">
        <v>9</v>
      </c>
      <c r="B61" s="199" t="s">
        <v>36</v>
      </c>
      <c r="C61" s="200" t="s">
        <v>39</v>
      </c>
      <c r="D61" s="7">
        <v>180</v>
      </c>
      <c r="E61" s="72">
        <v>8.11</v>
      </c>
      <c r="H61" s="7"/>
      <c r="I61" s="7">
        <v>15</v>
      </c>
      <c r="J61" s="7">
        <v>0</v>
      </c>
      <c r="K61" s="7">
        <v>0</v>
      </c>
      <c r="L61" s="7">
        <v>75.599999999999994</v>
      </c>
      <c r="M61" s="7">
        <v>86.85</v>
      </c>
      <c r="N61" s="7">
        <v>0.42124499999999998</v>
      </c>
      <c r="O61" s="7" t="s">
        <v>37</v>
      </c>
      <c r="P61" s="7">
        <v>50</v>
      </c>
      <c r="Q61" s="7">
        <v>0</v>
      </c>
      <c r="R61" s="21">
        <v>5.23</v>
      </c>
      <c r="S61" s="21">
        <v>941.40000000000009</v>
      </c>
      <c r="T61" s="21">
        <v>1459.8</v>
      </c>
      <c r="U61" s="21" t="str">
        <f>IFERROR(VLOOKUP(salesHistory[[#This Row],[order_no]],orderHistory[],22,FALSE),"")</f>
        <v>SALE</v>
      </c>
    </row>
    <row r="62" spans="1:21">
      <c r="A62" s="7">
        <v>9</v>
      </c>
      <c r="B62" s="199" t="s">
        <v>44</v>
      </c>
      <c r="C62" s="200" t="s">
        <v>45</v>
      </c>
      <c r="D62" s="7">
        <v>96</v>
      </c>
      <c r="E62" s="72">
        <v>8.11</v>
      </c>
      <c r="H62" s="7"/>
      <c r="I62" s="7">
        <v>8</v>
      </c>
      <c r="J62" s="7">
        <v>0</v>
      </c>
      <c r="K62" s="7">
        <v>0</v>
      </c>
      <c r="L62" s="7">
        <v>40.32</v>
      </c>
      <c r="M62" s="7">
        <v>46.32</v>
      </c>
      <c r="N62" s="7">
        <v>0.224664</v>
      </c>
      <c r="O62" s="7" t="s">
        <v>37</v>
      </c>
      <c r="P62" s="7">
        <v>50</v>
      </c>
      <c r="Q62" s="7">
        <v>0</v>
      </c>
      <c r="R62" s="21">
        <v>5.23</v>
      </c>
      <c r="S62" s="21">
        <v>502.08000000000004</v>
      </c>
      <c r="T62" s="21">
        <v>778.56</v>
      </c>
      <c r="U62" s="21" t="str">
        <f>IFERROR(VLOOKUP(salesHistory[[#This Row],[order_no]],orderHistory[],22,FALSE),"")</f>
        <v>SALE</v>
      </c>
    </row>
    <row r="63" spans="1:21">
      <c r="A63" s="7">
        <v>9</v>
      </c>
      <c r="B63" s="199" t="s">
        <v>46</v>
      </c>
      <c r="C63" s="200" t="s">
        <v>47</v>
      </c>
      <c r="D63" s="7">
        <v>96</v>
      </c>
      <c r="E63" s="72">
        <v>8.11</v>
      </c>
      <c r="H63" s="7"/>
      <c r="I63" s="7">
        <v>8</v>
      </c>
      <c r="J63" s="7">
        <v>0</v>
      </c>
      <c r="K63" s="7">
        <v>0</v>
      </c>
      <c r="L63" s="7">
        <v>40.32</v>
      </c>
      <c r="M63" s="7">
        <v>46.32</v>
      </c>
      <c r="N63" s="7">
        <v>0.224664</v>
      </c>
      <c r="O63" s="7" t="s">
        <v>37</v>
      </c>
      <c r="P63" s="7">
        <v>50</v>
      </c>
      <c r="Q63" s="7">
        <v>0</v>
      </c>
      <c r="R63" s="21">
        <v>5.23</v>
      </c>
      <c r="S63" s="21">
        <v>502.08000000000004</v>
      </c>
      <c r="T63" s="21">
        <v>778.56</v>
      </c>
      <c r="U63" s="21" t="str">
        <f>IFERROR(VLOOKUP(salesHistory[[#This Row],[order_no]],orderHistory[],22,FALSE),"")</f>
        <v>SALE</v>
      </c>
    </row>
    <row r="64" spans="1:21">
      <c r="A64" s="7">
        <v>9</v>
      </c>
      <c r="B64" s="199" t="s">
        <v>48</v>
      </c>
      <c r="C64" s="200" t="s">
        <v>50</v>
      </c>
      <c r="D64" s="7">
        <v>156</v>
      </c>
      <c r="E64" s="72">
        <v>8.11</v>
      </c>
      <c r="H64" s="7"/>
      <c r="I64" s="7">
        <v>13</v>
      </c>
      <c r="J64" s="7">
        <v>0</v>
      </c>
      <c r="K64" s="7">
        <v>0</v>
      </c>
      <c r="L64" s="7">
        <v>62.14</v>
      </c>
      <c r="M64" s="7">
        <v>68.25</v>
      </c>
      <c r="N64" s="7">
        <v>0.36507899999999999</v>
      </c>
      <c r="O64" s="7" t="s">
        <v>37</v>
      </c>
      <c r="P64" s="7">
        <v>50</v>
      </c>
      <c r="Q64" s="7">
        <v>0</v>
      </c>
      <c r="R64" s="21">
        <v>5.23</v>
      </c>
      <c r="S64" s="21">
        <v>815.88000000000011</v>
      </c>
      <c r="T64" s="21">
        <v>1265.1599999999999</v>
      </c>
      <c r="U64" s="21" t="str">
        <f>IFERROR(VLOOKUP(salesHistory[[#This Row],[order_no]],orderHistory[],22,FALSE),"")</f>
        <v>SALE</v>
      </c>
    </row>
    <row r="65" spans="1:21">
      <c r="A65" s="7">
        <v>9</v>
      </c>
      <c r="B65" s="199" t="s">
        <v>51</v>
      </c>
      <c r="C65" s="200" t="s">
        <v>52</v>
      </c>
      <c r="D65" s="7">
        <v>156</v>
      </c>
      <c r="E65" s="72">
        <v>8.11</v>
      </c>
      <c r="H65" s="7"/>
      <c r="I65" s="7">
        <v>13</v>
      </c>
      <c r="J65" s="7">
        <v>0</v>
      </c>
      <c r="K65" s="7">
        <v>0</v>
      </c>
      <c r="L65" s="7">
        <v>62.14</v>
      </c>
      <c r="M65" s="7">
        <v>68.25</v>
      </c>
      <c r="N65" s="7">
        <v>0.36507899999999999</v>
      </c>
      <c r="O65" s="7" t="s">
        <v>37</v>
      </c>
      <c r="P65" s="7">
        <v>50</v>
      </c>
      <c r="Q65" s="7">
        <v>0</v>
      </c>
      <c r="R65" s="21">
        <v>5.23</v>
      </c>
      <c r="S65" s="21">
        <v>815.88000000000011</v>
      </c>
      <c r="T65" s="21">
        <v>1265.1599999999999</v>
      </c>
      <c r="U65" s="21" t="str">
        <f>IFERROR(VLOOKUP(salesHistory[[#This Row],[order_no]],orderHistory[],22,FALSE),"")</f>
        <v>SALE</v>
      </c>
    </row>
    <row r="66" spans="1:21">
      <c r="A66" s="7">
        <v>9</v>
      </c>
      <c r="B66" s="199" t="s">
        <v>53</v>
      </c>
      <c r="C66" s="200" t="s">
        <v>54</v>
      </c>
      <c r="D66" s="7">
        <v>156</v>
      </c>
      <c r="E66" s="72">
        <v>8.11</v>
      </c>
      <c r="H66" s="7"/>
      <c r="I66" s="7">
        <v>13</v>
      </c>
      <c r="J66" s="7">
        <v>0</v>
      </c>
      <c r="K66" s="7">
        <v>0</v>
      </c>
      <c r="L66" s="7">
        <v>62.14</v>
      </c>
      <c r="M66" s="7">
        <v>68.25</v>
      </c>
      <c r="N66" s="7">
        <v>0.36507899999999999</v>
      </c>
      <c r="O66" s="7" t="s">
        <v>37</v>
      </c>
      <c r="P66" s="7">
        <v>50</v>
      </c>
      <c r="Q66" s="7">
        <v>0</v>
      </c>
      <c r="R66" s="21">
        <v>5.23</v>
      </c>
      <c r="S66" s="21">
        <v>815.88000000000011</v>
      </c>
      <c r="T66" s="21">
        <v>1265.1599999999999</v>
      </c>
      <c r="U66" s="21" t="str">
        <f>IFERROR(VLOOKUP(salesHistory[[#This Row],[order_no]],orderHistory[],22,FALSE),"")</f>
        <v>SALE</v>
      </c>
    </row>
    <row r="67" spans="1:21">
      <c r="A67" s="7">
        <v>9</v>
      </c>
      <c r="B67" s="199" t="s">
        <v>55</v>
      </c>
      <c r="C67" s="200" t="s">
        <v>56</v>
      </c>
      <c r="D67" s="7">
        <v>156</v>
      </c>
      <c r="E67" s="72">
        <v>8.11</v>
      </c>
      <c r="H67" s="7"/>
      <c r="I67" s="7">
        <v>13</v>
      </c>
      <c r="J67" s="7">
        <v>0</v>
      </c>
      <c r="K67" s="7">
        <v>0</v>
      </c>
      <c r="L67" s="7">
        <v>62.14</v>
      </c>
      <c r="M67" s="7">
        <v>68.25</v>
      </c>
      <c r="N67" s="7">
        <v>0.36507899999999999</v>
      </c>
      <c r="O67" s="7" t="s">
        <v>37</v>
      </c>
      <c r="P67" s="7">
        <v>50</v>
      </c>
      <c r="Q67" s="7">
        <v>0</v>
      </c>
      <c r="R67" s="21">
        <v>5.23</v>
      </c>
      <c r="S67" s="21">
        <v>815.88000000000011</v>
      </c>
      <c r="T67" s="21">
        <v>1265.1599999999999</v>
      </c>
      <c r="U67" s="21" t="str">
        <f>IFERROR(VLOOKUP(salesHistory[[#This Row],[order_no]],orderHistory[],22,FALSE),"")</f>
        <v>SALE</v>
      </c>
    </row>
    <row r="68" spans="1:21">
      <c r="A68" s="7">
        <v>9</v>
      </c>
      <c r="B68" s="199" t="s">
        <v>57</v>
      </c>
      <c r="C68" s="200" t="s">
        <v>58</v>
      </c>
      <c r="D68" s="7">
        <v>156</v>
      </c>
      <c r="E68" s="72">
        <v>8.7799999999999994</v>
      </c>
      <c r="H68" s="7"/>
      <c r="I68" s="7">
        <v>13</v>
      </c>
      <c r="J68" s="7">
        <v>0</v>
      </c>
      <c r="K68" s="7">
        <v>0</v>
      </c>
      <c r="L68" s="7">
        <v>80.209999999999994</v>
      </c>
      <c r="M68" s="7">
        <v>88.009999999999991</v>
      </c>
      <c r="N68" s="7">
        <v>0.50676600000000005</v>
      </c>
      <c r="O68" s="7" t="s">
        <v>37</v>
      </c>
      <c r="P68" s="7">
        <v>50</v>
      </c>
      <c r="Q68" s="7">
        <v>0</v>
      </c>
      <c r="R68" s="21">
        <v>6.97</v>
      </c>
      <c r="S68" s="21">
        <v>1087.32</v>
      </c>
      <c r="T68" s="21">
        <v>1369.6799999999998</v>
      </c>
      <c r="U68" s="21" t="str">
        <f>IFERROR(VLOOKUP(salesHistory[[#This Row],[order_no]],orderHistory[],22,FALSE),"")</f>
        <v>SALE</v>
      </c>
    </row>
    <row r="69" spans="1:21">
      <c r="A69" s="7">
        <v>9</v>
      </c>
      <c r="B69" s="199" t="s">
        <v>188</v>
      </c>
      <c r="C69" s="200" t="s">
        <v>191</v>
      </c>
      <c r="D69" s="7">
        <v>120</v>
      </c>
      <c r="E69" s="72">
        <v>2.7</v>
      </c>
      <c r="H69" s="7"/>
      <c r="I69" s="7">
        <v>5</v>
      </c>
      <c r="J69" s="7">
        <v>0</v>
      </c>
      <c r="K69" s="7">
        <v>0</v>
      </c>
      <c r="L69" s="7">
        <v>31.75</v>
      </c>
      <c r="M69" s="7">
        <v>35</v>
      </c>
      <c r="N69" s="7">
        <v>7.9695000000000002E-2</v>
      </c>
      <c r="O69" s="7" t="s">
        <v>189</v>
      </c>
      <c r="P69" s="7">
        <v>200</v>
      </c>
      <c r="Q69" s="7" t="s">
        <v>190</v>
      </c>
      <c r="R69" s="21">
        <v>2.0499999999999998</v>
      </c>
      <c r="S69" s="21">
        <v>245.99999999999997</v>
      </c>
      <c r="T69" s="21">
        <v>324</v>
      </c>
      <c r="U69" s="21" t="str">
        <f>IFERROR(VLOOKUP(salesHistory[[#This Row],[order_no]],orderHistory[],22,FALSE),"")</f>
        <v>SALE</v>
      </c>
    </row>
    <row r="70" spans="1:21">
      <c r="A70" s="7">
        <v>9</v>
      </c>
      <c r="B70" s="199" t="s">
        <v>193</v>
      </c>
      <c r="C70" s="200" t="s">
        <v>194</v>
      </c>
      <c r="D70" s="7">
        <v>120</v>
      </c>
      <c r="E70" s="72">
        <v>2.7</v>
      </c>
      <c r="H70" s="7"/>
      <c r="I70" s="7">
        <v>5</v>
      </c>
      <c r="J70" s="7">
        <v>0</v>
      </c>
      <c r="K70" s="7">
        <v>0</v>
      </c>
      <c r="L70" s="7">
        <v>31.75</v>
      </c>
      <c r="M70" s="7">
        <v>35</v>
      </c>
      <c r="N70" s="7">
        <v>7.9695000000000002E-2</v>
      </c>
      <c r="O70" s="7" t="s">
        <v>189</v>
      </c>
      <c r="P70" s="7">
        <v>200</v>
      </c>
      <c r="Q70" s="7" t="s">
        <v>190</v>
      </c>
      <c r="R70" s="21">
        <v>2.0499999999999998</v>
      </c>
      <c r="S70" s="21">
        <v>245.99999999999997</v>
      </c>
      <c r="T70" s="21">
        <v>324</v>
      </c>
      <c r="U70" s="21" t="str">
        <f>IFERROR(VLOOKUP(salesHistory[[#This Row],[order_no]],orderHistory[],22,FALSE),"")</f>
        <v>SALE</v>
      </c>
    </row>
    <row r="71" spans="1:21">
      <c r="A71" s="7">
        <v>9</v>
      </c>
      <c r="B71" s="199" t="s">
        <v>195</v>
      </c>
      <c r="C71" s="200" t="s">
        <v>196</v>
      </c>
      <c r="D71" s="7">
        <v>120</v>
      </c>
      <c r="E71" s="72">
        <v>2.7</v>
      </c>
      <c r="H71" s="7"/>
      <c r="I71" s="7">
        <v>5</v>
      </c>
      <c r="J71" s="7">
        <v>0</v>
      </c>
      <c r="K71" s="7">
        <v>0</v>
      </c>
      <c r="L71" s="7">
        <v>31.75</v>
      </c>
      <c r="M71" s="7">
        <v>35</v>
      </c>
      <c r="N71" s="7">
        <v>7.9695000000000002E-2</v>
      </c>
      <c r="O71" s="7" t="s">
        <v>189</v>
      </c>
      <c r="P71" s="7">
        <v>200</v>
      </c>
      <c r="Q71" s="7" t="s">
        <v>190</v>
      </c>
      <c r="R71" s="21">
        <v>2.0499999999999998</v>
      </c>
      <c r="S71" s="21">
        <v>245.99999999999997</v>
      </c>
      <c r="T71" s="21">
        <v>324</v>
      </c>
      <c r="U71" s="21" t="str">
        <f>IFERROR(VLOOKUP(salesHistory[[#This Row],[order_no]],orderHistory[],22,FALSE),"")</f>
        <v>SALE</v>
      </c>
    </row>
    <row r="72" spans="1:21">
      <c r="A72" s="439">
        <v>9</v>
      </c>
      <c r="B72" s="440" t="s">
        <v>197</v>
      </c>
      <c r="C72" s="441" t="s">
        <v>198</v>
      </c>
      <c r="D72" s="439">
        <v>120</v>
      </c>
      <c r="E72" s="442">
        <v>2.7</v>
      </c>
      <c r="F72" s="443"/>
      <c r="G72" s="442"/>
      <c r="H72" s="439"/>
      <c r="I72" s="439">
        <v>5</v>
      </c>
      <c r="J72" s="439">
        <v>0</v>
      </c>
      <c r="K72" s="439">
        <v>0</v>
      </c>
      <c r="L72" s="439">
        <v>31.75</v>
      </c>
      <c r="M72" s="439">
        <v>35</v>
      </c>
      <c r="N72" s="439">
        <v>7.9695000000000002E-2</v>
      </c>
      <c r="O72" s="439" t="s">
        <v>189</v>
      </c>
      <c r="P72" s="439">
        <v>200</v>
      </c>
      <c r="Q72" s="439" t="s">
        <v>190</v>
      </c>
      <c r="R72" s="444">
        <v>2.0499999999999998</v>
      </c>
      <c r="S72" s="444">
        <v>245.99999999999997</v>
      </c>
      <c r="T72" s="444">
        <v>324</v>
      </c>
      <c r="U72" s="444" t="str">
        <f>IFERROR(VLOOKUP(salesHistory[[#This Row],[order_no]],orderHistory[],22,FALSE),"")</f>
        <v>SALE</v>
      </c>
    </row>
    <row r="73" spans="1:21">
      <c r="A73" s="7">
        <v>10</v>
      </c>
      <c r="B73" s="199" t="s">
        <v>111</v>
      </c>
      <c r="C73" s="200" t="s">
        <v>112</v>
      </c>
      <c r="D73" s="7">
        <v>60</v>
      </c>
      <c r="E73" s="72">
        <v>4.76</v>
      </c>
      <c r="H73" s="7">
        <v>10</v>
      </c>
      <c r="I73" s="7">
        <v>3</v>
      </c>
      <c r="J73" s="7">
        <v>0</v>
      </c>
      <c r="K73" s="7">
        <v>1</v>
      </c>
      <c r="L73" s="7">
        <v>21.93333333333333</v>
      </c>
      <c r="M73" s="7">
        <v>24.004166666666666</v>
      </c>
      <c r="N73" s="7">
        <v>5.6114999999999998E-2</v>
      </c>
      <c r="O73" s="7" t="s">
        <v>74</v>
      </c>
      <c r="P73" s="7">
        <v>100</v>
      </c>
      <c r="Q73" s="7" t="s">
        <v>75</v>
      </c>
      <c r="R73" s="21">
        <v>5</v>
      </c>
      <c r="S73" s="21">
        <v>350</v>
      </c>
      <c r="T73" s="21">
        <v>285.59999999999997</v>
      </c>
      <c r="U73" s="21" t="str">
        <f>IFERROR(VLOOKUP(salesHistory[[#This Row],[order_no]],orderHistory[],22,FALSE),"")</f>
        <v>SALE</v>
      </c>
    </row>
    <row r="74" spans="1:21">
      <c r="A74" s="7">
        <v>10</v>
      </c>
      <c r="B74" s="199" t="s">
        <v>113</v>
      </c>
      <c r="C74" s="200" t="s">
        <v>114</v>
      </c>
      <c r="D74" s="7">
        <v>20</v>
      </c>
      <c r="E74" s="72">
        <v>4.76</v>
      </c>
      <c r="H74" s="7">
        <v>3</v>
      </c>
      <c r="I74" s="7">
        <v>1</v>
      </c>
      <c r="J74" s="7">
        <v>0</v>
      </c>
      <c r="K74" s="7">
        <v>1</v>
      </c>
      <c r="L74" s="7">
        <v>7.2066666666666661</v>
      </c>
      <c r="M74" s="7">
        <v>7.8870833333333339</v>
      </c>
      <c r="N74" s="7">
        <v>1.8705000000000003E-2</v>
      </c>
      <c r="O74" s="7" t="s">
        <v>74</v>
      </c>
      <c r="P74" s="7">
        <v>100</v>
      </c>
      <c r="Q74" s="7" t="s">
        <v>75</v>
      </c>
      <c r="R74" s="21">
        <v>5</v>
      </c>
      <c r="S74" s="21">
        <v>115</v>
      </c>
      <c r="T74" s="21">
        <v>95.199999999999989</v>
      </c>
      <c r="U74" s="21" t="str">
        <f>IFERROR(VLOOKUP(salesHistory[[#This Row],[order_no]],orderHistory[],22,FALSE),"")</f>
        <v>SALE</v>
      </c>
    </row>
    <row r="75" spans="1:21">
      <c r="A75" s="7">
        <v>10</v>
      </c>
      <c r="B75" s="199" t="s">
        <v>115</v>
      </c>
      <c r="C75" s="200" t="s">
        <v>116</v>
      </c>
      <c r="D75" s="7">
        <v>40</v>
      </c>
      <c r="E75" s="72">
        <v>4.76</v>
      </c>
      <c r="H75" s="7">
        <v>7</v>
      </c>
      <c r="I75" s="7">
        <v>2</v>
      </c>
      <c r="J75" s="7">
        <v>0</v>
      </c>
      <c r="K75" s="7">
        <v>1</v>
      </c>
      <c r="L75" s="7">
        <v>14.726666666666665</v>
      </c>
      <c r="M75" s="7">
        <v>16.117083333333333</v>
      </c>
      <c r="N75" s="7">
        <v>3.7410000000000006E-2</v>
      </c>
      <c r="O75" s="7" t="s">
        <v>74</v>
      </c>
      <c r="P75" s="7">
        <v>100</v>
      </c>
      <c r="Q75" s="7" t="s">
        <v>75</v>
      </c>
      <c r="R75" s="21">
        <v>5</v>
      </c>
      <c r="S75" s="21">
        <v>235</v>
      </c>
      <c r="T75" s="21">
        <v>190.39999999999998</v>
      </c>
      <c r="U75" s="21" t="str">
        <f>IFERROR(VLOOKUP(salesHistory[[#This Row],[order_no]],orderHistory[],22,FALSE),"")</f>
        <v>SALE</v>
      </c>
    </row>
    <row r="76" spans="1:21">
      <c r="A76" s="7">
        <v>10</v>
      </c>
      <c r="B76" s="199" t="s">
        <v>117</v>
      </c>
      <c r="C76" s="200" t="s">
        <v>118</v>
      </c>
      <c r="D76" s="7">
        <v>40</v>
      </c>
      <c r="E76" s="72">
        <v>4.76</v>
      </c>
      <c r="H76" s="7">
        <v>7</v>
      </c>
      <c r="I76" s="7">
        <v>2</v>
      </c>
      <c r="J76" s="7">
        <v>0</v>
      </c>
      <c r="K76" s="7">
        <v>1</v>
      </c>
      <c r="L76" s="7">
        <v>14.726666666666665</v>
      </c>
      <c r="M76" s="7">
        <v>16.117083333333333</v>
      </c>
      <c r="N76" s="7">
        <v>3.7410000000000006E-2</v>
      </c>
      <c r="O76" s="7" t="s">
        <v>74</v>
      </c>
      <c r="P76" s="7">
        <v>100</v>
      </c>
      <c r="Q76" s="7" t="s">
        <v>75</v>
      </c>
      <c r="R76" s="21">
        <v>5</v>
      </c>
      <c r="S76" s="21">
        <v>235</v>
      </c>
      <c r="T76" s="21">
        <v>190.39999999999998</v>
      </c>
      <c r="U76" s="21" t="str">
        <f>IFERROR(VLOOKUP(salesHistory[[#This Row],[order_no]],orderHistory[],22,FALSE),"")</f>
        <v>SALE</v>
      </c>
    </row>
    <row r="77" spans="1:21">
      <c r="A77" s="7">
        <v>10</v>
      </c>
      <c r="B77" s="199" t="s">
        <v>119</v>
      </c>
      <c r="C77" s="200" t="s">
        <v>120</v>
      </c>
      <c r="D77" s="7">
        <v>50</v>
      </c>
      <c r="E77" s="72">
        <v>4.76</v>
      </c>
      <c r="H77" s="7">
        <v>8</v>
      </c>
      <c r="I77" s="7">
        <v>3</v>
      </c>
      <c r="J77" s="7">
        <v>0</v>
      </c>
      <c r="K77" s="7">
        <v>1</v>
      </c>
      <c r="L77" s="7">
        <v>16.602499999999999</v>
      </c>
      <c r="M77" s="7">
        <v>18.27</v>
      </c>
      <c r="N77" s="7">
        <v>5.2406250000000001E-2</v>
      </c>
      <c r="O77" s="7" t="s">
        <v>74</v>
      </c>
      <c r="P77" s="7">
        <v>100</v>
      </c>
      <c r="Q77" s="7" t="s">
        <v>75</v>
      </c>
      <c r="R77" s="21">
        <v>5</v>
      </c>
      <c r="S77" s="21">
        <v>290</v>
      </c>
      <c r="T77" s="21">
        <v>238</v>
      </c>
      <c r="U77" s="21" t="str">
        <f>IFERROR(VLOOKUP(salesHistory[[#This Row],[order_no]],orderHistory[],22,FALSE),"")</f>
        <v>SALE</v>
      </c>
    </row>
    <row r="78" spans="1:21">
      <c r="A78" s="7">
        <v>10</v>
      </c>
      <c r="B78" s="199" t="s">
        <v>121</v>
      </c>
      <c r="C78" s="200" t="s">
        <v>122</v>
      </c>
      <c r="D78" s="7">
        <v>40</v>
      </c>
      <c r="E78" s="72">
        <v>4.76</v>
      </c>
      <c r="H78" s="7">
        <v>7</v>
      </c>
      <c r="I78" s="7">
        <v>2</v>
      </c>
      <c r="J78" s="7">
        <v>0</v>
      </c>
      <c r="K78" s="7">
        <v>1</v>
      </c>
      <c r="L78" s="7">
        <v>13.453749999999999</v>
      </c>
      <c r="M78" s="7">
        <v>14.804999999999998</v>
      </c>
      <c r="N78" s="7">
        <v>4.1925000000000011E-2</v>
      </c>
      <c r="O78" s="7" t="s">
        <v>74</v>
      </c>
      <c r="P78" s="7">
        <v>100</v>
      </c>
      <c r="Q78" s="7" t="s">
        <v>75</v>
      </c>
      <c r="R78" s="21">
        <v>5</v>
      </c>
      <c r="S78" s="21">
        <v>235</v>
      </c>
      <c r="T78" s="21">
        <v>190.39999999999998</v>
      </c>
      <c r="U78" s="21" t="str">
        <f>IFERROR(VLOOKUP(salesHistory[[#This Row],[order_no]],orderHistory[],22,FALSE),"")</f>
        <v>SALE</v>
      </c>
    </row>
    <row r="79" spans="1:21">
      <c r="A79" s="7">
        <v>10</v>
      </c>
      <c r="B79" s="199" t="s">
        <v>123</v>
      </c>
      <c r="C79" s="200" t="s">
        <v>124</v>
      </c>
      <c r="D79" s="7">
        <v>30</v>
      </c>
      <c r="E79" s="72">
        <v>4.76</v>
      </c>
      <c r="H79" s="7">
        <v>5</v>
      </c>
      <c r="I79" s="7">
        <v>2</v>
      </c>
      <c r="J79" s="7">
        <v>0</v>
      </c>
      <c r="K79" s="7">
        <v>1</v>
      </c>
      <c r="L79" s="7">
        <v>10.018749999999999</v>
      </c>
      <c r="M79" s="7">
        <v>11.024999999999999</v>
      </c>
      <c r="N79" s="7">
        <v>3.1443749999999999E-2</v>
      </c>
      <c r="O79" s="7" t="s">
        <v>74</v>
      </c>
      <c r="P79" s="7">
        <v>100</v>
      </c>
      <c r="Q79" s="7" t="s">
        <v>75</v>
      </c>
      <c r="R79" s="21">
        <v>5</v>
      </c>
      <c r="S79" s="21">
        <v>175</v>
      </c>
      <c r="T79" s="21">
        <v>142.79999999999998</v>
      </c>
      <c r="U79" s="21" t="str">
        <f>IFERROR(VLOOKUP(salesHistory[[#This Row],[order_no]],orderHistory[],22,FALSE),"")</f>
        <v>SALE</v>
      </c>
    </row>
    <row r="80" spans="1:21">
      <c r="A80" s="7">
        <v>10</v>
      </c>
      <c r="B80" s="199" t="s">
        <v>92</v>
      </c>
      <c r="C80" s="200" t="s">
        <v>93</v>
      </c>
      <c r="D80" s="7">
        <v>100</v>
      </c>
      <c r="E80" s="72">
        <v>5.6</v>
      </c>
      <c r="H80" s="7"/>
      <c r="I80" s="7">
        <v>9</v>
      </c>
      <c r="J80" s="7">
        <v>0</v>
      </c>
      <c r="K80" s="7">
        <v>0</v>
      </c>
      <c r="L80" s="7">
        <v>48.75</v>
      </c>
      <c r="M80" s="7">
        <v>55</v>
      </c>
      <c r="N80" s="7">
        <v>0.2719664</v>
      </c>
      <c r="O80" s="7" t="s">
        <v>37</v>
      </c>
      <c r="P80" s="7">
        <v>100</v>
      </c>
      <c r="Q80" s="7">
        <v>0</v>
      </c>
      <c r="R80" s="21">
        <v>0</v>
      </c>
      <c r="S80" s="21">
        <v>0</v>
      </c>
      <c r="T80" s="21">
        <v>560</v>
      </c>
      <c r="U80" s="21" t="str">
        <f>IFERROR(VLOOKUP(salesHistory[[#This Row],[order_no]],orderHistory[],22,FALSE),"")</f>
        <v>SALE</v>
      </c>
    </row>
    <row r="81" spans="1:21">
      <c r="A81" s="7">
        <v>10</v>
      </c>
      <c r="B81" s="199" t="s">
        <v>94</v>
      </c>
      <c r="C81" s="200" t="s">
        <v>95</v>
      </c>
      <c r="D81" s="7">
        <v>250</v>
      </c>
      <c r="E81" s="72">
        <v>5.6</v>
      </c>
      <c r="H81" s="7"/>
      <c r="I81" s="7">
        <v>21</v>
      </c>
      <c r="J81" s="7">
        <v>0</v>
      </c>
      <c r="K81" s="7">
        <v>0</v>
      </c>
      <c r="L81" s="7">
        <v>121.87499999999999</v>
      </c>
      <c r="M81" s="7">
        <v>137.49999999999997</v>
      </c>
      <c r="N81" s="7">
        <v>0.67991599999999985</v>
      </c>
      <c r="O81" s="7" t="s">
        <v>37</v>
      </c>
      <c r="P81" s="7">
        <v>100</v>
      </c>
      <c r="Q81" s="7">
        <v>0</v>
      </c>
      <c r="R81" s="21">
        <v>0</v>
      </c>
      <c r="S81" s="21">
        <v>0</v>
      </c>
      <c r="T81" s="21">
        <v>1400</v>
      </c>
      <c r="U81" s="21" t="str">
        <f>IFERROR(VLOOKUP(salesHistory[[#This Row],[order_no]],orderHistory[],22,FALSE),"")</f>
        <v>SALE</v>
      </c>
    </row>
    <row r="82" spans="1:21">
      <c r="A82" s="7">
        <v>10</v>
      </c>
      <c r="B82" s="199" t="s">
        <v>96</v>
      </c>
      <c r="C82" s="200" t="s">
        <v>97</v>
      </c>
      <c r="D82" s="7">
        <v>60</v>
      </c>
      <c r="E82" s="72">
        <v>5.6</v>
      </c>
      <c r="H82" s="7"/>
      <c r="I82" s="7">
        <v>5</v>
      </c>
      <c r="J82" s="7">
        <v>0</v>
      </c>
      <c r="K82" s="7">
        <v>0</v>
      </c>
      <c r="L82" s="7">
        <v>29.25</v>
      </c>
      <c r="M82" s="7">
        <v>33</v>
      </c>
      <c r="N82" s="7">
        <v>0.16317983999999999</v>
      </c>
      <c r="O82" s="7" t="s">
        <v>37</v>
      </c>
      <c r="P82" s="7">
        <v>100</v>
      </c>
      <c r="Q82" s="7">
        <v>0</v>
      </c>
      <c r="R82" s="21">
        <v>0</v>
      </c>
      <c r="S82" s="21">
        <v>0</v>
      </c>
      <c r="T82" s="21">
        <v>336</v>
      </c>
      <c r="U82" s="21" t="str">
        <f>IFERROR(VLOOKUP(salesHistory[[#This Row],[order_no]],orderHistory[],22,FALSE),"")</f>
        <v>SALE</v>
      </c>
    </row>
    <row r="83" spans="1:21">
      <c r="A83" s="7">
        <v>10</v>
      </c>
      <c r="B83" s="199" t="s">
        <v>98</v>
      </c>
      <c r="C83" s="200" t="s">
        <v>99</v>
      </c>
      <c r="D83" s="7">
        <v>250</v>
      </c>
      <c r="E83" s="72">
        <v>5.6</v>
      </c>
      <c r="H83" s="7"/>
      <c r="I83" s="7">
        <v>21</v>
      </c>
      <c r="J83" s="7">
        <v>0</v>
      </c>
      <c r="K83" s="7">
        <v>0</v>
      </c>
      <c r="L83" s="7">
        <v>121.87499999999999</v>
      </c>
      <c r="M83" s="7">
        <v>137.49999999999997</v>
      </c>
      <c r="N83" s="7">
        <v>0.67991599999999985</v>
      </c>
      <c r="O83" s="7" t="s">
        <v>37</v>
      </c>
      <c r="P83" s="7">
        <v>100</v>
      </c>
      <c r="Q83" s="7">
        <v>0</v>
      </c>
      <c r="R83" s="21">
        <v>0</v>
      </c>
      <c r="S83" s="21">
        <v>0</v>
      </c>
      <c r="T83" s="21">
        <v>1400</v>
      </c>
      <c r="U83" s="21" t="str">
        <f>IFERROR(VLOOKUP(salesHistory[[#This Row],[order_no]],orderHistory[],22,FALSE),"")</f>
        <v>SALE</v>
      </c>
    </row>
    <row r="84" spans="1:21">
      <c r="A84" s="439">
        <v>10</v>
      </c>
      <c r="B84" s="440" t="s">
        <v>100</v>
      </c>
      <c r="C84" s="441" t="s">
        <v>101</v>
      </c>
      <c r="D84" s="439">
        <v>40</v>
      </c>
      <c r="E84" s="442">
        <v>5.6</v>
      </c>
      <c r="F84" s="443"/>
      <c r="G84" s="442"/>
      <c r="H84" s="439"/>
      <c r="I84" s="439">
        <v>4</v>
      </c>
      <c r="J84" s="439">
        <v>0</v>
      </c>
      <c r="K84" s="439">
        <v>0</v>
      </c>
      <c r="L84" s="439">
        <v>17.5</v>
      </c>
      <c r="M84" s="439">
        <v>20</v>
      </c>
      <c r="N84" s="439">
        <v>0.10687333333333335</v>
      </c>
      <c r="O84" s="439" t="s">
        <v>37</v>
      </c>
      <c r="P84" s="439">
        <v>100</v>
      </c>
      <c r="Q84" s="439">
        <v>0</v>
      </c>
      <c r="R84" s="444">
        <v>0</v>
      </c>
      <c r="S84" s="444">
        <v>0</v>
      </c>
      <c r="T84" s="444">
        <v>224</v>
      </c>
      <c r="U84" s="444" t="str">
        <f>IFERROR(VLOOKUP(salesHistory[[#This Row],[order_no]],orderHistory[],22,FALSE),"")</f>
        <v>SALE</v>
      </c>
    </row>
    <row r="85" spans="1:21">
      <c r="A85" s="439">
        <v>11</v>
      </c>
      <c r="B85" s="440" t="s">
        <v>176</v>
      </c>
      <c r="C85" s="441" t="s">
        <v>177</v>
      </c>
      <c r="D85" s="439">
        <v>6888</v>
      </c>
      <c r="E85" s="442">
        <v>1.03</v>
      </c>
      <c r="F85" s="443"/>
      <c r="G85" s="442"/>
      <c r="H85" s="439"/>
      <c r="I85" s="439">
        <v>144</v>
      </c>
      <c r="J85" s="439">
        <v>0</v>
      </c>
      <c r="K85" s="439">
        <v>0</v>
      </c>
      <c r="L85" s="439">
        <v>902.32800000000009</v>
      </c>
      <c r="M85" s="439">
        <v>1009.6659999999999</v>
      </c>
      <c r="N85" s="439">
        <v>3.7654399999999999</v>
      </c>
      <c r="O85" s="439" t="s">
        <v>170</v>
      </c>
      <c r="P85" s="439">
        <v>150</v>
      </c>
      <c r="Q85" s="439" t="s">
        <v>171</v>
      </c>
      <c r="R85" s="444">
        <v>0.81599999999999995</v>
      </c>
      <c r="S85" s="444">
        <v>5620.6079999999993</v>
      </c>
      <c r="T85" s="444">
        <v>7094.64</v>
      </c>
      <c r="U85" s="444" t="str">
        <f>IFERROR(VLOOKUP(salesHistory[[#This Row],[order_no]],orderHistory[],22,FALSE),"")</f>
        <v>SALE</v>
      </c>
    </row>
    <row r="86" spans="1:21">
      <c r="A86" s="7">
        <v>12</v>
      </c>
      <c r="B86" s="199" t="s">
        <v>111</v>
      </c>
      <c r="C86" s="200" t="s">
        <v>112</v>
      </c>
      <c r="E86" s="72"/>
      <c r="H86" s="7">
        <v>4</v>
      </c>
      <c r="I86" s="7">
        <v>0</v>
      </c>
      <c r="J86" s="7">
        <v>0</v>
      </c>
      <c r="K86" s="7">
        <v>1</v>
      </c>
      <c r="L86" s="7">
        <v>1.2533333333333332</v>
      </c>
      <c r="M86" s="7">
        <v>1.3716666666666666</v>
      </c>
      <c r="N86" s="7">
        <v>0</v>
      </c>
      <c r="O86" s="7" t="s">
        <v>74</v>
      </c>
      <c r="P86" s="7">
        <v>100</v>
      </c>
      <c r="Q86" s="7" t="s">
        <v>75</v>
      </c>
      <c r="R86" s="21">
        <v>5</v>
      </c>
      <c r="S86" s="21">
        <v>20</v>
      </c>
      <c r="T86" s="21">
        <v>0</v>
      </c>
      <c r="U86" s="21" t="str">
        <f>IFERROR(VLOOKUP(salesHistory[[#This Row],[order_no]],orderHistory[],22,FALSE),"")</f>
        <v>SALE</v>
      </c>
    </row>
    <row r="87" spans="1:21">
      <c r="A87" s="7">
        <v>12</v>
      </c>
      <c r="B87" s="199" t="s">
        <v>115</v>
      </c>
      <c r="C87" s="200" t="s">
        <v>116</v>
      </c>
      <c r="E87" s="72"/>
      <c r="H87" s="7">
        <v>3</v>
      </c>
      <c r="I87" s="7">
        <v>0</v>
      </c>
      <c r="J87" s="7">
        <v>0</v>
      </c>
      <c r="K87" s="7">
        <v>1</v>
      </c>
      <c r="L87" s="7">
        <v>0.94</v>
      </c>
      <c r="M87" s="7">
        <v>1.0287500000000001</v>
      </c>
      <c r="N87" s="7">
        <v>0</v>
      </c>
      <c r="O87" s="7" t="s">
        <v>74</v>
      </c>
      <c r="P87" s="7">
        <v>100</v>
      </c>
      <c r="Q87" s="7" t="s">
        <v>75</v>
      </c>
      <c r="R87" s="21">
        <v>5</v>
      </c>
      <c r="S87" s="21">
        <v>15</v>
      </c>
      <c r="T87" s="21">
        <v>0</v>
      </c>
      <c r="U87" s="21" t="str">
        <f>IFERROR(VLOOKUP(salesHistory[[#This Row],[order_no]],orderHistory[],22,FALSE),"")</f>
        <v>SALE</v>
      </c>
    </row>
    <row r="88" spans="1:21">
      <c r="A88" s="7">
        <v>12</v>
      </c>
      <c r="B88" s="199" t="s">
        <v>119</v>
      </c>
      <c r="C88" s="200" t="s">
        <v>120</v>
      </c>
      <c r="E88" s="72"/>
      <c r="H88" s="7">
        <v>1</v>
      </c>
      <c r="I88" s="7">
        <v>0</v>
      </c>
      <c r="J88" s="7">
        <v>0</v>
      </c>
      <c r="K88" s="7">
        <v>1</v>
      </c>
      <c r="L88" s="7">
        <v>0.28625</v>
      </c>
      <c r="M88" s="7">
        <v>0.31499999999999995</v>
      </c>
      <c r="N88" s="7">
        <v>0</v>
      </c>
      <c r="O88" s="7" t="s">
        <v>74</v>
      </c>
      <c r="P88" s="7">
        <v>100</v>
      </c>
      <c r="Q88" s="7" t="s">
        <v>75</v>
      </c>
      <c r="R88" s="21">
        <v>5</v>
      </c>
      <c r="S88" s="21">
        <v>5</v>
      </c>
      <c r="T88" s="21">
        <v>0</v>
      </c>
      <c r="U88" s="21" t="str">
        <f>IFERROR(VLOOKUP(salesHistory[[#This Row],[order_no]],orderHistory[],22,FALSE),"")</f>
        <v>SALE</v>
      </c>
    </row>
    <row r="89" spans="1:21">
      <c r="A89" s="7">
        <v>12</v>
      </c>
      <c r="B89" s="199" t="s">
        <v>121</v>
      </c>
      <c r="C89" s="200" t="s">
        <v>122</v>
      </c>
      <c r="E89" s="72"/>
      <c r="H89" s="7">
        <v>1</v>
      </c>
      <c r="I89" s="7">
        <v>0</v>
      </c>
      <c r="J89" s="7">
        <v>0</v>
      </c>
      <c r="K89" s="7">
        <v>1</v>
      </c>
      <c r="L89" s="7">
        <v>0.28625</v>
      </c>
      <c r="M89" s="7">
        <v>0.31499999999999995</v>
      </c>
      <c r="N89" s="7">
        <v>0</v>
      </c>
      <c r="O89" s="7" t="s">
        <v>74</v>
      </c>
      <c r="P89" s="7">
        <v>100</v>
      </c>
      <c r="Q89" s="7" t="s">
        <v>75</v>
      </c>
      <c r="R89" s="21">
        <v>5</v>
      </c>
      <c r="S89" s="21">
        <v>5</v>
      </c>
      <c r="T89" s="21">
        <v>0</v>
      </c>
      <c r="U89" s="21" t="str">
        <f>IFERROR(VLOOKUP(salesHistory[[#This Row],[order_no]],orderHistory[],22,FALSE),"")</f>
        <v>SALE</v>
      </c>
    </row>
    <row r="90" spans="1:21">
      <c r="A90" s="7">
        <v>12</v>
      </c>
      <c r="B90" s="199" t="s">
        <v>161</v>
      </c>
      <c r="C90" s="200" t="s">
        <v>162</v>
      </c>
      <c r="D90" s="7">
        <v>1008</v>
      </c>
      <c r="E90" s="72">
        <v>12.5</v>
      </c>
      <c r="H90" s="7">
        <v>144</v>
      </c>
      <c r="I90" s="7">
        <v>42</v>
      </c>
      <c r="J90" s="7">
        <v>0</v>
      </c>
      <c r="K90" s="7">
        <v>6</v>
      </c>
      <c r="L90" s="7">
        <v>455.04</v>
      </c>
      <c r="M90" s="7">
        <v>475.20000000000005</v>
      </c>
      <c r="N90" s="7">
        <v>0.726495</v>
      </c>
      <c r="O90" s="7" t="s">
        <v>128</v>
      </c>
      <c r="P90" s="7">
        <v>100</v>
      </c>
      <c r="Q90" s="7" t="s">
        <v>75</v>
      </c>
      <c r="R90" s="21">
        <v>11.68</v>
      </c>
      <c r="S90" s="21">
        <v>13455.36</v>
      </c>
      <c r="T90" s="21">
        <v>12600</v>
      </c>
      <c r="U90" s="21" t="str">
        <f>IFERROR(VLOOKUP(salesHistory[[#This Row],[order_no]],orderHistory[],22,FALSE),"")</f>
        <v>SALE</v>
      </c>
    </row>
    <row r="91" spans="1:21">
      <c r="A91" s="7">
        <v>12</v>
      </c>
      <c r="B91" s="199" t="s">
        <v>163</v>
      </c>
      <c r="C91" s="200" t="s">
        <v>164</v>
      </c>
      <c r="D91" s="7">
        <v>768</v>
      </c>
      <c r="E91" s="72">
        <v>12.5</v>
      </c>
      <c r="H91" s="7">
        <v>109</v>
      </c>
      <c r="I91" s="7">
        <v>32</v>
      </c>
      <c r="J91" s="7">
        <v>0</v>
      </c>
      <c r="K91" s="7">
        <v>5</v>
      </c>
      <c r="L91" s="7">
        <v>346.41500000000002</v>
      </c>
      <c r="M91" s="7">
        <v>361.76249999999999</v>
      </c>
      <c r="N91" s="7">
        <v>0.55352000000000001</v>
      </c>
      <c r="O91" s="7" t="s">
        <v>128</v>
      </c>
      <c r="P91" s="7">
        <v>100</v>
      </c>
      <c r="Q91" s="7" t="s">
        <v>75</v>
      </c>
      <c r="R91" s="21">
        <v>11.68</v>
      </c>
      <c r="S91" s="21">
        <v>10243.36</v>
      </c>
      <c r="T91" s="21">
        <v>9600</v>
      </c>
      <c r="U91" s="21" t="str">
        <f>IFERROR(VLOOKUP(salesHistory[[#This Row],[order_no]],orderHistory[],22,FALSE),"")</f>
        <v>SALE</v>
      </c>
    </row>
    <row r="92" spans="1:21">
      <c r="A92" s="7">
        <v>12</v>
      </c>
      <c r="B92" s="199" t="s">
        <v>188</v>
      </c>
      <c r="C92" s="200" t="s">
        <v>191</v>
      </c>
      <c r="E92" s="72"/>
      <c r="H92" s="7">
        <v>2</v>
      </c>
      <c r="I92" s="7">
        <v>0</v>
      </c>
      <c r="J92" s="7">
        <v>0</v>
      </c>
      <c r="K92" s="7">
        <v>1</v>
      </c>
      <c r="L92" s="7">
        <v>0.52916666666666656</v>
      </c>
      <c r="M92" s="7">
        <v>0.58333333333333326</v>
      </c>
      <c r="N92" s="7">
        <v>0</v>
      </c>
      <c r="O92" s="7" t="s">
        <v>189</v>
      </c>
      <c r="P92" s="7">
        <v>200</v>
      </c>
      <c r="Q92" s="7" t="s">
        <v>190</v>
      </c>
      <c r="R92" s="21">
        <v>2.0499999999999998</v>
      </c>
      <c r="S92" s="21">
        <v>4.0999999999999996</v>
      </c>
      <c r="T92" s="21">
        <v>0</v>
      </c>
      <c r="U92" s="21" t="str">
        <f>IFERROR(VLOOKUP(salesHistory[[#This Row],[order_no]],orderHistory[],22,FALSE),"")</f>
        <v>SALE</v>
      </c>
    </row>
    <row r="93" spans="1:21">
      <c r="A93" s="439">
        <v>12</v>
      </c>
      <c r="B93" s="440" t="s">
        <v>195</v>
      </c>
      <c r="C93" s="441" t="s">
        <v>196</v>
      </c>
      <c r="D93" s="439"/>
      <c r="E93" s="442"/>
      <c r="F93" s="443"/>
      <c r="G93" s="442"/>
      <c r="H93" s="439">
        <v>5</v>
      </c>
      <c r="I93" s="439">
        <v>0</v>
      </c>
      <c r="J93" s="439">
        <v>0</v>
      </c>
      <c r="K93" s="439">
        <v>1</v>
      </c>
      <c r="L93" s="439">
        <v>1.3229166666666667</v>
      </c>
      <c r="M93" s="439">
        <v>1.4583333333333335</v>
      </c>
      <c r="N93" s="439">
        <v>0</v>
      </c>
      <c r="O93" s="439" t="s">
        <v>189</v>
      </c>
      <c r="P93" s="439">
        <v>200</v>
      </c>
      <c r="Q93" s="439" t="s">
        <v>190</v>
      </c>
      <c r="R93" s="444">
        <v>2.0499999999999998</v>
      </c>
      <c r="S93" s="444">
        <v>10.25</v>
      </c>
      <c r="T93" s="444">
        <v>0</v>
      </c>
      <c r="U93" s="444" t="str">
        <f>IFERROR(VLOOKUP(salesHistory[[#This Row],[order_no]],orderHistory[],22,FALSE),"")</f>
        <v>SALE</v>
      </c>
    </row>
    <row r="94" spans="1:21">
      <c r="A94" s="7">
        <v>13</v>
      </c>
      <c r="B94" s="199" t="s">
        <v>111</v>
      </c>
      <c r="C94" s="200" t="s">
        <v>112</v>
      </c>
      <c r="D94" s="7">
        <v>1356</v>
      </c>
      <c r="E94" s="72">
        <v>5.56</v>
      </c>
      <c r="H94" s="7">
        <v>130</v>
      </c>
      <c r="I94" s="7">
        <v>57</v>
      </c>
      <c r="J94" s="7">
        <v>0</v>
      </c>
      <c r="K94" s="7">
        <v>6</v>
      </c>
      <c r="L94" s="7">
        <v>465.61333333333329</v>
      </c>
      <c r="M94" s="7">
        <v>509.57416666666666</v>
      </c>
      <c r="N94" s="7">
        <v>1.2681990000000001</v>
      </c>
      <c r="O94" s="7" t="s">
        <v>74</v>
      </c>
      <c r="P94" s="7">
        <v>100</v>
      </c>
      <c r="Q94" s="7" t="s">
        <v>75</v>
      </c>
      <c r="R94" s="21">
        <v>5</v>
      </c>
      <c r="S94" s="21">
        <v>7430</v>
      </c>
      <c r="T94" s="21">
        <v>7539.36</v>
      </c>
      <c r="U94" s="21" t="str">
        <f>IFERROR(VLOOKUP(salesHistory[[#This Row],[order_no]],orderHistory[],22,FALSE),"")</f>
        <v>SALE</v>
      </c>
    </row>
    <row r="95" spans="1:21">
      <c r="A95" s="7">
        <v>13</v>
      </c>
      <c r="B95" s="199" t="s">
        <v>113</v>
      </c>
      <c r="C95" s="200" t="s">
        <v>114</v>
      </c>
      <c r="D95" s="7">
        <v>204</v>
      </c>
      <c r="E95" s="72">
        <v>5.66</v>
      </c>
      <c r="H95" s="7">
        <v>18</v>
      </c>
      <c r="I95" s="7">
        <v>9</v>
      </c>
      <c r="J95" s="7">
        <v>0</v>
      </c>
      <c r="K95" s="7">
        <v>1</v>
      </c>
      <c r="L95" s="7">
        <v>69.56</v>
      </c>
      <c r="M95" s="7">
        <v>76.127499999999998</v>
      </c>
      <c r="N95" s="7">
        <v>0.19079099999999999</v>
      </c>
      <c r="O95" s="7" t="s">
        <v>74</v>
      </c>
      <c r="P95" s="7">
        <v>100</v>
      </c>
      <c r="Q95" s="7" t="s">
        <v>75</v>
      </c>
      <c r="R95" s="21">
        <v>5</v>
      </c>
      <c r="S95" s="21">
        <v>1110</v>
      </c>
      <c r="T95" s="21">
        <v>1154.6400000000001</v>
      </c>
      <c r="U95" s="21" t="str">
        <f>IFERROR(VLOOKUP(salesHistory[[#This Row],[order_no]],orderHistory[],22,FALSE),"")</f>
        <v>SALE</v>
      </c>
    </row>
    <row r="96" spans="1:21">
      <c r="A96" s="7">
        <v>13</v>
      </c>
      <c r="B96" s="199" t="s">
        <v>115</v>
      </c>
      <c r="C96" s="200" t="s">
        <v>116</v>
      </c>
      <c r="D96" s="7">
        <v>600</v>
      </c>
      <c r="E96" s="72">
        <v>5.56</v>
      </c>
      <c r="H96" s="7">
        <v>60</v>
      </c>
      <c r="I96" s="7">
        <v>25</v>
      </c>
      <c r="J96" s="7">
        <v>0</v>
      </c>
      <c r="K96" s="7">
        <v>3</v>
      </c>
      <c r="L96" s="7">
        <v>206.79999999999998</v>
      </c>
      <c r="M96" s="7">
        <v>226.32500000000002</v>
      </c>
      <c r="N96" s="7">
        <v>0.56115000000000004</v>
      </c>
      <c r="O96" s="7" t="s">
        <v>74</v>
      </c>
      <c r="P96" s="7">
        <v>100</v>
      </c>
      <c r="Q96" s="7" t="s">
        <v>75</v>
      </c>
      <c r="R96" s="21">
        <v>5</v>
      </c>
      <c r="S96" s="21">
        <v>3300</v>
      </c>
      <c r="T96" s="21">
        <v>3335.9999999999995</v>
      </c>
      <c r="U96" s="21" t="str">
        <f>IFERROR(VLOOKUP(salesHistory[[#This Row],[order_no]],orderHistory[],22,FALSE),"")</f>
        <v>SALE</v>
      </c>
    </row>
    <row r="97" spans="1:21">
      <c r="A97" s="7">
        <v>13</v>
      </c>
      <c r="B97" s="199" t="s">
        <v>119</v>
      </c>
      <c r="C97" s="200" t="s">
        <v>120</v>
      </c>
      <c r="D97" s="7">
        <v>204</v>
      </c>
      <c r="E97" s="72">
        <v>5.66</v>
      </c>
      <c r="H97" s="7">
        <v>18</v>
      </c>
      <c r="I97" s="7">
        <v>9</v>
      </c>
      <c r="J97" s="7">
        <v>0</v>
      </c>
      <c r="K97" s="7">
        <v>1</v>
      </c>
      <c r="L97" s="7">
        <v>63.547499999999999</v>
      </c>
      <c r="M97" s="7">
        <v>69.929999999999993</v>
      </c>
      <c r="N97" s="7">
        <v>0.21381749999999999</v>
      </c>
      <c r="O97" s="7" t="s">
        <v>74</v>
      </c>
      <c r="P97" s="7">
        <v>100</v>
      </c>
      <c r="Q97" s="7" t="s">
        <v>75</v>
      </c>
      <c r="R97" s="21">
        <v>5</v>
      </c>
      <c r="S97" s="21">
        <v>1110</v>
      </c>
      <c r="T97" s="21">
        <v>1154.6400000000001</v>
      </c>
      <c r="U97" s="21" t="str">
        <f>IFERROR(VLOOKUP(salesHistory[[#This Row],[order_no]],orderHistory[],22,FALSE),"")</f>
        <v>SALE</v>
      </c>
    </row>
    <row r="98" spans="1:21">
      <c r="A98" s="7">
        <v>13</v>
      </c>
      <c r="B98" s="199" t="s">
        <v>132</v>
      </c>
      <c r="C98" s="200" t="s">
        <v>843</v>
      </c>
      <c r="D98" s="7">
        <v>504</v>
      </c>
      <c r="E98" s="72">
        <v>9.31</v>
      </c>
      <c r="H98" s="7">
        <v>48</v>
      </c>
      <c r="I98" s="7">
        <v>21</v>
      </c>
      <c r="J98" s="7">
        <v>0</v>
      </c>
      <c r="K98" s="7">
        <v>2</v>
      </c>
      <c r="L98" s="7">
        <v>218.04000000000002</v>
      </c>
      <c r="M98" s="7">
        <v>227.70000000000002</v>
      </c>
      <c r="N98" s="7">
        <v>0.3632475</v>
      </c>
      <c r="O98" s="7" t="s">
        <v>128</v>
      </c>
      <c r="P98" s="7">
        <v>100</v>
      </c>
      <c r="Q98" s="7" t="s">
        <v>75</v>
      </c>
      <c r="R98" s="21">
        <v>11.68</v>
      </c>
      <c r="S98" s="21">
        <v>6447.36</v>
      </c>
      <c r="T98" s="21">
        <v>4692.2400000000007</v>
      </c>
      <c r="U98" s="21" t="str">
        <f>IFERROR(VLOOKUP(salesHistory[[#This Row],[order_no]],orderHistory[],22,FALSE),"")</f>
        <v>SALE</v>
      </c>
    </row>
    <row r="99" spans="1:21">
      <c r="A99" s="7">
        <v>13</v>
      </c>
      <c r="B99" s="199" t="s">
        <v>140</v>
      </c>
      <c r="C99" s="200" t="s">
        <v>141</v>
      </c>
      <c r="D99" s="7">
        <v>60</v>
      </c>
      <c r="E99" s="72">
        <v>9.31</v>
      </c>
      <c r="H99" s="7"/>
      <c r="I99" s="7">
        <v>3</v>
      </c>
      <c r="J99" s="7">
        <v>0</v>
      </c>
      <c r="K99" s="7">
        <v>0</v>
      </c>
      <c r="L99" s="7">
        <v>22.799999999999997</v>
      </c>
      <c r="M99" s="7">
        <v>23.75</v>
      </c>
      <c r="N99" s="7">
        <v>4.3828125000000002E-2</v>
      </c>
      <c r="O99" s="7" t="s">
        <v>128</v>
      </c>
      <c r="P99" s="7">
        <v>100</v>
      </c>
      <c r="Q99" s="7" t="s">
        <v>75</v>
      </c>
      <c r="R99" s="21">
        <v>11.68</v>
      </c>
      <c r="S99" s="21">
        <v>700.8</v>
      </c>
      <c r="T99" s="21">
        <v>558.6</v>
      </c>
      <c r="U99" s="21" t="str">
        <f>IFERROR(VLOOKUP(salesHistory[[#This Row],[order_no]],orderHistory[],22,FALSE),"")</f>
        <v>SALE</v>
      </c>
    </row>
    <row r="100" spans="1:21">
      <c r="A100" s="7">
        <v>13</v>
      </c>
      <c r="B100" s="199" t="s">
        <v>36</v>
      </c>
      <c r="C100" s="200" t="s">
        <v>39</v>
      </c>
      <c r="D100" s="7">
        <v>1440</v>
      </c>
      <c r="E100" s="72">
        <v>5.66</v>
      </c>
      <c r="H100" s="7"/>
      <c r="I100" s="7">
        <v>120</v>
      </c>
      <c r="J100" s="7">
        <v>0</v>
      </c>
      <c r="K100" s="7">
        <v>0</v>
      </c>
      <c r="L100" s="7">
        <v>604.79999999999995</v>
      </c>
      <c r="M100" s="7">
        <v>694.8</v>
      </c>
      <c r="N100" s="7">
        <v>3.3699599999999998</v>
      </c>
      <c r="O100" s="7" t="s">
        <v>37</v>
      </c>
      <c r="P100" s="7">
        <v>50</v>
      </c>
      <c r="Q100" s="7">
        <v>0</v>
      </c>
      <c r="R100" s="21">
        <v>5.23</v>
      </c>
      <c r="S100" s="21">
        <v>7531.2000000000007</v>
      </c>
      <c r="T100" s="21">
        <v>8150.4000000000005</v>
      </c>
      <c r="U100" s="21" t="str">
        <f>IFERROR(VLOOKUP(salesHistory[[#This Row],[order_no]],orderHistory[],22,FALSE),"")</f>
        <v>SALE</v>
      </c>
    </row>
    <row r="101" spans="1:21">
      <c r="A101" s="439">
        <v>13</v>
      </c>
      <c r="B101" s="440" t="s">
        <v>44</v>
      </c>
      <c r="C101" s="441" t="s">
        <v>45</v>
      </c>
      <c r="D101" s="439">
        <v>1440</v>
      </c>
      <c r="E101" s="442">
        <v>5.66</v>
      </c>
      <c r="F101" s="443"/>
      <c r="G101" s="442"/>
      <c r="H101" s="439"/>
      <c r="I101" s="439">
        <v>120</v>
      </c>
      <c r="J101" s="439">
        <v>0</v>
      </c>
      <c r="K101" s="439">
        <v>0</v>
      </c>
      <c r="L101" s="439">
        <v>604.79999999999995</v>
      </c>
      <c r="M101" s="439">
        <v>694.8</v>
      </c>
      <c r="N101" s="439">
        <v>3.3699599999999998</v>
      </c>
      <c r="O101" s="439" t="s">
        <v>37</v>
      </c>
      <c r="P101" s="439">
        <v>50</v>
      </c>
      <c r="Q101" s="439">
        <v>0</v>
      </c>
      <c r="R101" s="444">
        <v>5.23</v>
      </c>
      <c r="S101" s="444">
        <v>7531.2000000000007</v>
      </c>
      <c r="T101" s="444">
        <v>8150.4000000000005</v>
      </c>
      <c r="U101" s="444" t="str">
        <f>IFERROR(VLOOKUP(salesHistory[[#This Row],[order_no]],orderHistory[],22,FALSE),"")</f>
        <v>SALE</v>
      </c>
    </row>
    <row r="102" spans="1:21">
      <c r="A102" s="7">
        <v>14</v>
      </c>
      <c r="B102" s="199" t="s">
        <v>161</v>
      </c>
      <c r="C102" s="200" t="s">
        <v>162</v>
      </c>
      <c r="D102" s="7">
        <v>750</v>
      </c>
      <c r="E102" s="72">
        <v>13.5</v>
      </c>
      <c r="H102" s="7"/>
      <c r="I102" s="7">
        <v>32</v>
      </c>
      <c r="J102" s="7">
        <v>0</v>
      </c>
      <c r="K102" s="7">
        <v>0</v>
      </c>
      <c r="L102" s="7">
        <v>296.25</v>
      </c>
      <c r="M102" s="7">
        <v>309.375</v>
      </c>
      <c r="N102" s="7">
        <v>0.54054687499999998</v>
      </c>
      <c r="O102" s="7" t="s">
        <v>128</v>
      </c>
      <c r="P102" s="7">
        <v>100</v>
      </c>
      <c r="Q102" s="7" t="s">
        <v>75</v>
      </c>
      <c r="R102" s="21">
        <v>11.68</v>
      </c>
      <c r="S102" s="21">
        <v>8760</v>
      </c>
      <c r="T102" s="21">
        <v>10125</v>
      </c>
      <c r="U102" s="21" t="str">
        <f>IFERROR(VLOOKUP(salesHistory[[#This Row],[order_no]],orderHistory[],22,FALSE),"")</f>
        <v>SALE</v>
      </c>
    </row>
    <row r="103" spans="1:21">
      <c r="A103" s="439">
        <v>14</v>
      </c>
      <c r="B103" s="440" t="s">
        <v>163</v>
      </c>
      <c r="C103" s="441" t="s">
        <v>164</v>
      </c>
      <c r="D103" s="439">
        <v>750</v>
      </c>
      <c r="E103" s="442">
        <v>13.5</v>
      </c>
      <c r="F103" s="443"/>
      <c r="G103" s="442"/>
      <c r="H103" s="439"/>
      <c r="I103" s="439">
        <v>32</v>
      </c>
      <c r="J103" s="439">
        <v>0</v>
      </c>
      <c r="K103" s="439">
        <v>0</v>
      </c>
      <c r="L103" s="439">
        <v>296.25</v>
      </c>
      <c r="M103" s="439">
        <v>309.375</v>
      </c>
      <c r="N103" s="439">
        <v>0.54054687499999998</v>
      </c>
      <c r="O103" s="439" t="s">
        <v>128</v>
      </c>
      <c r="P103" s="439">
        <v>100</v>
      </c>
      <c r="Q103" s="439" t="s">
        <v>75</v>
      </c>
      <c r="R103" s="444">
        <v>11.68</v>
      </c>
      <c r="S103" s="444">
        <v>8760</v>
      </c>
      <c r="T103" s="444">
        <v>10125</v>
      </c>
      <c r="U103" s="444" t="str">
        <f>IFERROR(VLOOKUP(salesHistory[[#This Row],[order_no]],orderHistory[],22,FALSE),"")</f>
        <v>SALE</v>
      </c>
    </row>
    <row r="104" spans="1:21">
      <c r="A104" s="7">
        <v>15</v>
      </c>
      <c r="B104" s="199" t="s">
        <v>161</v>
      </c>
      <c r="C104" s="200" t="s">
        <v>162</v>
      </c>
      <c r="D104" s="7">
        <v>750</v>
      </c>
      <c r="E104" s="72">
        <v>13.5</v>
      </c>
      <c r="H104" s="7"/>
      <c r="I104" s="7">
        <v>32</v>
      </c>
      <c r="J104" s="7">
        <v>0</v>
      </c>
      <c r="K104" s="7">
        <v>0</v>
      </c>
      <c r="L104" s="7">
        <v>296.25</v>
      </c>
      <c r="M104" s="7">
        <v>309.375</v>
      </c>
      <c r="N104" s="7">
        <v>0.54054687499999998</v>
      </c>
      <c r="O104" s="7" t="s">
        <v>128</v>
      </c>
      <c r="P104" s="7">
        <v>100</v>
      </c>
      <c r="Q104" s="7" t="s">
        <v>75</v>
      </c>
      <c r="R104" s="21">
        <v>11.68</v>
      </c>
      <c r="S104" s="21">
        <v>8760</v>
      </c>
      <c r="T104" s="21">
        <v>10125</v>
      </c>
      <c r="U104" s="21" t="str">
        <f>IFERROR(VLOOKUP(salesHistory[[#This Row],[order_no]],orderHistory[],22,FALSE),"")</f>
        <v>SALE</v>
      </c>
    </row>
    <row r="105" spans="1:21">
      <c r="A105" s="439">
        <v>15</v>
      </c>
      <c r="B105" s="440" t="s">
        <v>163</v>
      </c>
      <c r="C105" s="441" t="s">
        <v>164</v>
      </c>
      <c r="D105" s="439">
        <v>750</v>
      </c>
      <c r="E105" s="442">
        <v>13.5</v>
      </c>
      <c r="F105" s="443"/>
      <c r="G105" s="442"/>
      <c r="H105" s="439"/>
      <c r="I105" s="439">
        <v>32</v>
      </c>
      <c r="J105" s="439">
        <v>0</v>
      </c>
      <c r="K105" s="439">
        <v>0</v>
      </c>
      <c r="L105" s="439">
        <v>296.25</v>
      </c>
      <c r="M105" s="439">
        <v>309.375</v>
      </c>
      <c r="N105" s="439">
        <v>0.54054687499999998</v>
      </c>
      <c r="O105" s="439" t="s">
        <v>128</v>
      </c>
      <c r="P105" s="439">
        <v>100</v>
      </c>
      <c r="Q105" s="439" t="s">
        <v>75</v>
      </c>
      <c r="R105" s="444">
        <v>11.68</v>
      </c>
      <c r="S105" s="444">
        <v>8760</v>
      </c>
      <c r="T105" s="444">
        <v>10125</v>
      </c>
      <c r="U105" s="444" t="str">
        <f>IFERROR(VLOOKUP(salesHistory[[#This Row],[order_no]],orderHistory[],22,FALSE),"")</f>
        <v>SALE</v>
      </c>
    </row>
    <row r="106" spans="1:21">
      <c r="A106" s="7">
        <v>17</v>
      </c>
      <c r="B106" s="199" t="s">
        <v>111</v>
      </c>
      <c r="C106" s="200" t="s">
        <v>112</v>
      </c>
      <c r="D106" s="7">
        <v>1512</v>
      </c>
      <c r="E106" s="72">
        <v>6</v>
      </c>
      <c r="H106" s="7">
        <v>144</v>
      </c>
      <c r="I106" s="7">
        <v>63</v>
      </c>
      <c r="J106" s="7">
        <v>0</v>
      </c>
      <c r="K106" s="7">
        <v>6</v>
      </c>
      <c r="L106" s="7">
        <v>518.88</v>
      </c>
      <c r="M106" s="7">
        <v>567.87</v>
      </c>
      <c r="N106" s="7">
        <v>1.4140980000000001</v>
      </c>
      <c r="O106" s="7" t="s">
        <v>74</v>
      </c>
      <c r="P106" s="7">
        <v>100</v>
      </c>
      <c r="Q106" s="7" t="s">
        <v>75</v>
      </c>
      <c r="R106" s="21">
        <v>5</v>
      </c>
      <c r="S106" s="21">
        <v>8280</v>
      </c>
      <c r="T106" s="21">
        <v>9072</v>
      </c>
      <c r="U106" s="21" t="str">
        <f>IFERROR(VLOOKUP(salesHistory[[#This Row],[order_no]],orderHistory[],22,FALSE),"")</f>
        <v>SALE</v>
      </c>
    </row>
    <row r="107" spans="1:21">
      <c r="A107" s="7">
        <v>17</v>
      </c>
      <c r="B107" s="199" t="s">
        <v>111</v>
      </c>
      <c r="C107" s="200" t="s">
        <v>112</v>
      </c>
      <c r="E107" s="72"/>
      <c r="H107" s="7">
        <v>6</v>
      </c>
      <c r="I107" s="7">
        <v>0</v>
      </c>
      <c r="J107" s="7">
        <v>0</v>
      </c>
      <c r="K107" s="7">
        <v>1</v>
      </c>
      <c r="L107" s="7">
        <v>1.88</v>
      </c>
      <c r="M107" s="7">
        <v>2.0575000000000001</v>
      </c>
      <c r="N107" s="7">
        <v>0</v>
      </c>
      <c r="O107" s="7" t="s">
        <v>74</v>
      </c>
      <c r="P107" s="7">
        <v>100</v>
      </c>
      <c r="Q107" s="7" t="s">
        <v>75</v>
      </c>
      <c r="R107" s="21">
        <v>5</v>
      </c>
      <c r="S107" s="21">
        <v>30</v>
      </c>
      <c r="T107" s="21">
        <v>0</v>
      </c>
      <c r="U107" s="21" t="str">
        <f>IFERROR(VLOOKUP(salesHistory[[#This Row],[order_no]],orderHistory[],22,FALSE),"")</f>
        <v>SALE</v>
      </c>
    </row>
    <row r="108" spans="1:21">
      <c r="A108" s="7">
        <v>17</v>
      </c>
      <c r="B108" s="199" t="s">
        <v>113</v>
      </c>
      <c r="C108" s="200" t="s">
        <v>114</v>
      </c>
      <c r="D108" s="7">
        <v>1512</v>
      </c>
      <c r="E108" s="72">
        <v>6</v>
      </c>
      <c r="H108" s="7">
        <v>144</v>
      </c>
      <c r="I108" s="7">
        <v>63</v>
      </c>
      <c r="J108" s="7">
        <v>0</v>
      </c>
      <c r="K108" s="7">
        <v>6</v>
      </c>
      <c r="L108" s="7">
        <v>518.88</v>
      </c>
      <c r="M108" s="7">
        <v>567.87</v>
      </c>
      <c r="N108" s="7">
        <v>1.4140980000000001</v>
      </c>
      <c r="O108" s="7" t="s">
        <v>74</v>
      </c>
      <c r="P108" s="7">
        <v>100</v>
      </c>
      <c r="Q108" s="7" t="s">
        <v>75</v>
      </c>
      <c r="R108" s="21">
        <v>5</v>
      </c>
      <c r="S108" s="21">
        <v>8280</v>
      </c>
      <c r="T108" s="21">
        <v>9072</v>
      </c>
      <c r="U108" s="21" t="str">
        <f>IFERROR(VLOOKUP(salesHistory[[#This Row],[order_no]],orderHistory[],22,FALSE),"")</f>
        <v>SALE</v>
      </c>
    </row>
    <row r="109" spans="1:21">
      <c r="A109" s="7">
        <v>17</v>
      </c>
      <c r="B109" s="199" t="s">
        <v>113</v>
      </c>
      <c r="C109" s="200" t="s">
        <v>114</v>
      </c>
      <c r="E109" s="72"/>
      <c r="H109" s="7">
        <v>6</v>
      </c>
      <c r="I109" s="7">
        <v>0</v>
      </c>
      <c r="J109" s="7">
        <v>0</v>
      </c>
      <c r="K109" s="7">
        <v>1</v>
      </c>
      <c r="L109" s="7">
        <v>1.88</v>
      </c>
      <c r="M109" s="7">
        <v>2.0575000000000001</v>
      </c>
      <c r="N109" s="7">
        <v>0</v>
      </c>
      <c r="O109" s="7" t="s">
        <v>74</v>
      </c>
      <c r="P109" s="7">
        <v>100</v>
      </c>
      <c r="Q109" s="7" t="s">
        <v>75</v>
      </c>
      <c r="R109" s="21">
        <v>5</v>
      </c>
      <c r="S109" s="21">
        <v>30</v>
      </c>
      <c r="T109" s="21">
        <v>0</v>
      </c>
      <c r="U109" s="21" t="str">
        <f>IFERROR(VLOOKUP(salesHistory[[#This Row],[order_no]],orderHistory[],22,FALSE),"")</f>
        <v>SALE</v>
      </c>
    </row>
    <row r="110" spans="1:21">
      <c r="A110" s="7">
        <v>17</v>
      </c>
      <c r="B110" s="199" t="s">
        <v>115</v>
      </c>
      <c r="C110" s="200" t="s">
        <v>116</v>
      </c>
      <c r="D110" s="7">
        <v>1512</v>
      </c>
      <c r="E110" s="72">
        <v>6</v>
      </c>
      <c r="H110" s="7">
        <v>144</v>
      </c>
      <c r="I110" s="7">
        <v>63</v>
      </c>
      <c r="J110" s="7">
        <v>0</v>
      </c>
      <c r="K110" s="7">
        <v>6</v>
      </c>
      <c r="L110" s="7">
        <v>518.88</v>
      </c>
      <c r="M110" s="7">
        <v>567.87</v>
      </c>
      <c r="N110" s="7">
        <v>1.4140980000000001</v>
      </c>
      <c r="O110" s="7" t="s">
        <v>74</v>
      </c>
      <c r="P110" s="7">
        <v>100</v>
      </c>
      <c r="Q110" s="7" t="s">
        <v>75</v>
      </c>
      <c r="R110" s="21">
        <v>5</v>
      </c>
      <c r="S110" s="21">
        <v>8280</v>
      </c>
      <c r="T110" s="21">
        <v>9072</v>
      </c>
      <c r="U110" s="21" t="str">
        <f>IFERROR(VLOOKUP(salesHistory[[#This Row],[order_no]],orderHistory[],22,FALSE),"")</f>
        <v>SALE</v>
      </c>
    </row>
    <row r="111" spans="1:21">
      <c r="A111" s="7">
        <v>17</v>
      </c>
      <c r="B111" s="199" t="s">
        <v>115</v>
      </c>
      <c r="C111" s="200" t="s">
        <v>116</v>
      </c>
      <c r="E111" s="72"/>
      <c r="H111" s="7">
        <v>6</v>
      </c>
      <c r="I111" s="7">
        <v>0</v>
      </c>
      <c r="J111" s="7">
        <v>0</v>
      </c>
      <c r="K111" s="7">
        <v>1</v>
      </c>
      <c r="L111" s="7">
        <v>1.88</v>
      </c>
      <c r="M111" s="7">
        <v>2.0575000000000001</v>
      </c>
      <c r="N111" s="7">
        <v>0</v>
      </c>
      <c r="O111" s="7" t="s">
        <v>74</v>
      </c>
      <c r="P111" s="7">
        <v>100</v>
      </c>
      <c r="Q111" s="7" t="s">
        <v>75</v>
      </c>
      <c r="R111" s="21">
        <v>5</v>
      </c>
      <c r="S111" s="21">
        <v>30</v>
      </c>
      <c r="T111" s="21">
        <v>0</v>
      </c>
      <c r="U111" s="21" t="str">
        <f>IFERROR(VLOOKUP(salesHistory[[#This Row],[order_no]],orderHistory[],22,FALSE),"")</f>
        <v>SALE</v>
      </c>
    </row>
    <row r="112" spans="1:21">
      <c r="A112" s="7">
        <v>17</v>
      </c>
      <c r="B112" s="199" t="s">
        <v>117</v>
      </c>
      <c r="C112" s="200" t="s">
        <v>118</v>
      </c>
      <c r="D112" s="7">
        <v>1512</v>
      </c>
      <c r="E112" s="72">
        <v>6</v>
      </c>
      <c r="H112" s="7">
        <v>144</v>
      </c>
      <c r="I112" s="7">
        <v>63</v>
      </c>
      <c r="J112" s="7">
        <v>0</v>
      </c>
      <c r="K112" s="7">
        <v>6</v>
      </c>
      <c r="L112" s="7">
        <v>518.88</v>
      </c>
      <c r="M112" s="7">
        <v>567.87</v>
      </c>
      <c r="N112" s="7">
        <v>1.4140980000000001</v>
      </c>
      <c r="O112" s="7" t="s">
        <v>74</v>
      </c>
      <c r="P112" s="7">
        <v>100</v>
      </c>
      <c r="Q112" s="7" t="s">
        <v>75</v>
      </c>
      <c r="R112" s="21">
        <v>5</v>
      </c>
      <c r="S112" s="21">
        <v>8280</v>
      </c>
      <c r="T112" s="21">
        <v>9072</v>
      </c>
      <c r="U112" s="21" t="str">
        <f>IFERROR(VLOOKUP(salesHistory[[#This Row],[order_no]],orderHistory[],22,FALSE),"")</f>
        <v>SALE</v>
      </c>
    </row>
    <row r="113" spans="1:21">
      <c r="A113" s="7">
        <v>17</v>
      </c>
      <c r="B113" s="199" t="s">
        <v>117</v>
      </c>
      <c r="C113" s="200" t="s">
        <v>118</v>
      </c>
      <c r="E113" s="72"/>
      <c r="H113" s="7">
        <v>6</v>
      </c>
      <c r="I113" s="7">
        <v>0</v>
      </c>
      <c r="J113" s="7">
        <v>0</v>
      </c>
      <c r="K113" s="7">
        <v>1</v>
      </c>
      <c r="L113" s="7">
        <v>1.88</v>
      </c>
      <c r="M113" s="7">
        <v>2.0575000000000001</v>
      </c>
      <c r="N113" s="7">
        <v>0</v>
      </c>
      <c r="O113" s="7" t="s">
        <v>74</v>
      </c>
      <c r="P113" s="7">
        <v>100</v>
      </c>
      <c r="Q113" s="7" t="s">
        <v>75</v>
      </c>
      <c r="R113" s="21">
        <v>5</v>
      </c>
      <c r="S113" s="21">
        <v>30</v>
      </c>
      <c r="T113" s="21">
        <v>0</v>
      </c>
      <c r="U113" s="21" t="str">
        <f>IFERROR(VLOOKUP(salesHistory[[#This Row],[order_no]],orderHistory[],22,FALSE),"")</f>
        <v>SALE</v>
      </c>
    </row>
    <row r="114" spans="1:21">
      <c r="A114" s="7">
        <v>17</v>
      </c>
      <c r="B114" s="199" t="s">
        <v>119</v>
      </c>
      <c r="C114" s="200" t="s">
        <v>120</v>
      </c>
      <c r="D114" s="7">
        <v>1512</v>
      </c>
      <c r="E114" s="72">
        <v>6</v>
      </c>
      <c r="H114" s="7">
        <v>144</v>
      </c>
      <c r="I114" s="7">
        <v>63</v>
      </c>
      <c r="J114" s="7">
        <v>0</v>
      </c>
      <c r="K114" s="7">
        <v>6</v>
      </c>
      <c r="L114" s="7">
        <v>474.03000000000003</v>
      </c>
      <c r="M114" s="7">
        <v>521.64</v>
      </c>
      <c r="N114" s="7">
        <v>1.584765</v>
      </c>
      <c r="O114" s="7" t="s">
        <v>74</v>
      </c>
      <c r="P114" s="7">
        <v>100</v>
      </c>
      <c r="Q114" s="7" t="s">
        <v>75</v>
      </c>
      <c r="R114" s="21">
        <v>5</v>
      </c>
      <c r="S114" s="21">
        <v>8280</v>
      </c>
      <c r="T114" s="21">
        <v>9072</v>
      </c>
      <c r="U114" s="21" t="str">
        <f>IFERROR(VLOOKUP(salesHistory[[#This Row],[order_no]],orderHistory[],22,FALSE),"")</f>
        <v>SALE</v>
      </c>
    </row>
    <row r="115" spans="1:21">
      <c r="A115" s="7">
        <v>17</v>
      </c>
      <c r="B115" s="199" t="s">
        <v>119</v>
      </c>
      <c r="C115" s="200" t="s">
        <v>120</v>
      </c>
      <c r="E115" s="72"/>
      <c r="H115" s="7">
        <v>6</v>
      </c>
      <c r="I115" s="7">
        <v>0</v>
      </c>
      <c r="J115" s="7">
        <v>0</v>
      </c>
      <c r="K115" s="7">
        <v>1</v>
      </c>
      <c r="L115" s="7">
        <v>1.7175</v>
      </c>
      <c r="M115" s="7">
        <v>1.89</v>
      </c>
      <c r="N115" s="7">
        <v>0</v>
      </c>
      <c r="O115" s="7" t="s">
        <v>74</v>
      </c>
      <c r="P115" s="7">
        <v>100</v>
      </c>
      <c r="Q115" s="7" t="s">
        <v>75</v>
      </c>
      <c r="R115" s="21">
        <v>5</v>
      </c>
      <c r="S115" s="21">
        <v>30</v>
      </c>
      <c r="T115" s="21">
        <v>0</v>
      </c>
      <c r="U115" s="21" t="str">
        <f>IFERROR(VLOOKUP(salesHistory[[#This Row],[order_no]],orderHistory[],22,FALSE),"")</f>
        <v>SALE</v>
      </c>
    </row>
    <row r="116" spans="1:21">
      <c r="A116" s="7">
        <v>17</v>
      </c>
      <c r="B116" s="199" t="s">
        <v>121</v>
      </c>
      <c r="C116" s="200" t="s">
        <v>122</v>
      </c>
      <c r="D116" s="7">
        <v>1512</v>
      </c>
      <c r="E116" s="72">
        <v>6</v>
      </c>
      <c r="H116" s="7">
        <v>144</v>
      </c>
      <c r="I116" s="7">
        <v>63</v>
      </c>
      <c r="J116" s="7">
        <v>0</v>
      </c>
      <c r="K116" s="7">
        <v>6</v>
      </c>
      <c r="L116" s="7">
        <v>474.03000000000003</v>
      </c>
      <c r="M116" s="7">
        <v>521.64</v>
      </c>
      <c r="N116" s="7">
        <v>1.584765</v>
      </c>
      <c r="O116" s="7" t="s">
        <v>74</v>
      </c>
      <c r="P116" s="7">
        <v>100</v>
      </c>
      <c r="Q116" s="7" t="s">
        <v>75</v>
      </c>
      <c r="R116" s="21">
        <v>5</v>
      </c>
      <c r="S116" s="21">
        <v>8280</v>
      </c>
      <c r="T116" s="21">
        <v>9072</v>
      </c>
      <c r="U116" s="21" t="str">
        <f>IFERROR(VLOOKUP(salesHistory[[#This Row],[order_no]],orderHistory[],22,FALSE),"")</f>
        <v>SALE</v>
      </c>
    </row>
    <row r="117" spans="1:21">
      <c r="A117" s="7">
        <v>17</v>
      </c>
      <c r="B117" s="199" t="s">
        <v>121</v>
      </c>
      <c r="C117" s="200" t="s">
        <v>122</v>
      </c>
      <c r="E117" s="72"/>
      <c r="H117" s="7">
        <v>6</v>
      </c>
      <c r="I117" s="7">
        <v>0</v>
      </c>
      <c r="J117" s="7">
        <v>0</v>
      </c>
      <c r="K117" s="7">
        <v>1</v>
      </c>
      <c r="L117" s="7">
        <v>1.7175</v>
      </c>
      <c r="M117" s="7">
        <v>1.89</v>
      </c>
      <c r="N117" s="7">
        <v>0</v>
      </c>
      <c r="O117" s="7" t="s">
        <v>74</v>
      </c>
      <c r="P117" s="7">
        <v>100</v>
      </c>
      <c r="Q117" s="7" t="s">
        <v>75</v>
      </c>
      <c r="R117" s="21">
        <v>5</v>
      </c>
      <c r="S117" s="21">
        <v>30</v>
      </c>
      <c r="T117" s="21">
        <v>0</v>
      </c>
      <c r="U117" s="21" t="str">
        <f>IFERROR(VLOOKUP(salesHistory[[#This Row],[order_no]],orderHistory[],22,FALSE),"")</f>
        <v>SALE</v>
      </c>
    </row>
    <row r="118" spans="1:21">
      <c r="A118" s="7">
        <v>17</v>
      </c>
      <c r="B118" s="199" t="s">
        <v>123</v>
      </c>
      <c r="C118" s="200" t="s">
        <v>124</v>
      </c>
      <c r="D118" s="7">
        <v>1512</v>
      </c>
      <c r="E118" s="72">
        <v>6</v>
      </c>
      <c r="H118" s="7">
        <v>144</v>
      </c>
      <c r="I118" s="7">
        <v>63</v>
      </c>
      <c r="J118" s="7">
        <v>0</v>
      </c>
      <c r="K118" s="7">
        <v>6</v>
      </c>
      <c r="L118" s="7">
        <v>474.03000000000003</v>
      </c>
      <c r="M118" s="7">
        <v>521.64</v>
      </c>
      <c r="N118" s="7">
        <v>1.584765</v>
      </c>
      <c r="O118" s="7" t="s">
        <v>74</v>
      </c>
      <c r="P118" s="7">
        <v>100</v>
      </c>
      <c r="Q118" s="7" t="s">
        <v>75</v>
      </c>
      <c r="R118" s="21">
        <v>5</v>
      </c>
      <c r="S118" s="21">
        <v>8280</v>
      </c>
      <c r="T118" s="21">
        <v>9072</v>
      </c>
      <c r="U118" s="21" t="str">
        <f>IFERROR(VLOOKUP(salesHistory[[#This Row],[order_no]],orderHistory[],22,FALSE),"")</f>
        <v>SALE</v>
      </c>
    </row>
    <row r="119" spans="1:21">
      <c r="A119" s="7">
        <v>17</v>
      </c>
      <c r="B119" s="199" t="s">
        <v>123</v>
      </c>
      <c r="C119" s="200" t="s">
        <v>124</v>
      </c>
      <c r="E119" s="72"/>
      <c r="H119" s="7">
        <v>6</v>
      </c>
      <c r="I119" s="7">
        <v>0</v>
      </c>
      <c r="J119" s="7">
        <v>0</v>
      </c>
      <c r="K119" s="7">
        <v>1</v>
      </c>
      <c r="L119" s="7">
        <v>1.7175</v>
      </c>
      <c r="M119" s="7">
        <v>1.89</v>
      </c>
      <c r="N119" s="7">
        <v>0</v>
      </c>
      <c r="O119" s="7" t="s">
        <v>74</v>
      </c>
      <c r="P119" s="7">
        <v>100</v>
      </c>
      <c r="Q119" s="7" t="s">
        <v>75</v>
      </c>
      <c r="R119" s="21">
        <v>5</v>
      </c>
      <c r="S119" s="21">
        <v>30</v>
      </c>
      <c r="T119" s="21">
        <v>0</v>
      </c>
      <c r="U119" s="21" t="str">
        <f>IFERROR(VLOOKUP(salesHistory[[#This Row],[order_no]],orderHistory[],22,FALSE),"")</f>
        <v>SALE</v>
      </c>
    </row>
    <row r="120" spans="1:21">
      <c r="A120" s="7">
        <v>17</v>
      </c>
      <c r="B120" s="199" t="s">
        <v>125</v>
      </c>
      <c r="C120" s="200" t="s">
        <v>126</v>
      </c>
      <c r="D120" s="7">
        <v>1512</v>
      </c>
      <c r="E120" s="72">
        <v>6</v>
      </c>
      <c r="H120" s="7">
        <v>144</v>
      </c>
      <c r="I120" s="7">
        <v>63</v>
      </c>
      <c r="J120" s="7">
        <v>0</v>
      </c>
      <c r="K120" s="7">
        <v>6</v>
      </c>
      <c r="L120" s="7">
        <v>474.03000000000003</v>
      </c>
      <c r="M120" s="7">
        <v>521.64</v>
      </c>
      <c r="N120" s="7">
        <v>1.584765</v>
      </c>
      <c r="O120" s="7" t="s">
        <v>74</v>
      </c>
      <c r="P120" s="7">
        <v>100</v>
      </c>
      <c r="Q120" s="7" t="s">
        <v>75</v>
      </c>
      <c r="R120" s="21">
        <v>5</v>
      </c>
      <c r="S120" s="21">
        <v>8280</v>
      </c>
      <c r="T120" s="21">
        <v>9072</v>
      </c>
      <c r="U120" s="21" t="str">
        <f>IFERROR(VLOOKUP(salesHistory[[#This Row],[order_no]],orderHistory[],22,FALSE),"")</f>
        <v>SALE</v>
      </c>
    </row>
    <row r="121" spans="1:21">
      <c r="A121" s="7">
        <v>17</v>
      </c>
      <c r="B121" s="199" t="s">
        <v>125</v>
      </c>
      <c r="C121" s="200" t="s">
        <v>126</v>
      </c>
      <c r="E121" s="72"/>
      <c r="H121" s="7">
        <v>6</v>
      </c>
      <c r="I121" s="7">
        <v>0</v>
      </c>
      <c r="J121" s="7">
        <v>0</v>
      </c>
      <c r="K121" s="7">
        <v>1</v>
      </c>
      <c r="L121" s="7">
        <v>1.7175</v>
      </c>
      <c r="M121" s="7">
        <v>1.89</v>
      </c>
      <c r="N121" s="7">
        <v>0</v>
      </c>
      <c r="O121" s="7" t="s">
        <v>74</v>
      </c>
      <c r="P121" s="7">
        <v>100</v>
      </c>
      <c r="Q121" s="7" t="s">
        <v>75</v>
      </c>
      <c r="R121" s="21">
        <v>5</v>
      </c>
      <c r="S121" s="21">
        <v>30</v>
      </c>
      <c r="T121" s="21">
        <v>0</v>
      </c>
      <c r="U121" s="21" t="str">
        <f>IFERROR(VLOOKUP(salesHistory[[#This Row],[order_no]],orderHistory[],22,FALSE),"")</f>
        <v>SALE</v>
      </c>
    </row>
    <row r="122" spans="1:21">
      <c r="A122" s="7">
        <v>19</v>
      </c>
      <c r="B122" s="199" t="s">
        <v>188</v>
      </c>
      <c r="C122" s="200" t="s">
        <v>191</v>
      </c>
      <c r="D122" s="7">
        <v>6720</v>
      </c>
      <c r="E122" s="72">
        <v>2.0499999999999998</v>
      </c>
      <c r="H122" s="7"/>
      <c r="I122" s="7">
        <v>280</v>
      </c>
      <c r="J122" s="7">
        <v>0</v>
      </c>
      <c r="K122" s="7">
        <v>0</v>
      </c>
      <c r="L122" s="7">
        <v>1778</v>
      </c>
      <c r="M122" s="7">
        <v>1960</v>
      </c>
      <c r="N122" s="7">
        <v>4.4629200000000004</v>
      </c>
      <c r="O122" s="7" t="s">
        <v>189</v>
      </c>
      <c r="P122" s="7">
        <v>200</v>
      </c>
      <c r="Q122" s="7" t="s">
        <v>190</v>
      </c>
      <c r="R122" s="21" t="s">
        <v>1142</v>
      </c>
      <c r="S122" s="21" t="s">
        <v>1142</v>
      </c>
      <c r="T122" s="21">
        <v>13775.999999999998</v>
      </c>
      <c r="U122" s="21" t="str">
        <f>IFERROR(VLOOKUP(salesHistory[[#This Row],[order_no]],orderHistory[],22,FALSE),"")</f>
        <v>SUPPLY</v>
      </c>
    </row>
    <row r="123" spans="1:21">
      <c r="A123" s="7">
        <v>19</v>
      </c>
      <c r="B123" s="199" t="s">
        <v>193</v>
      </c>
      <c r="C123" s="200" t="s">
        <v>194</v>
      </c>
      <c r="D123" s="7">
        <v>6720</v>
      </c>
      <c r="E123" s="72">
        <v>2.0499999999999998</v>
      </c>
      <c r="H123" s="7"/>
      <c r="I123" s="7">
        <v>280</v>
      </c>
      <c r="J123" s="7">
        <v>0</v>
      </c>
      <c r="K123" s="7">
        <v>0</v>
      </c>
      <c r="L123" s="7">
        <v>1778</v>
      </c>
      <c r="M123" s="7">
        <v>1960</v>
      </c>
      <c r="N123" s="7">
        <v>4.4629200000000004</v>
      </c>
      <c r="O123" s="7" t="s">
        <v>189</v>
      </c>
      <c r="P123" s="7">
        <v>200</v>
      </c>
      <c r="Q123" s="7" t="s">
        <v>190</v>
      </c>
      <c r="R123" s="21" t="s">
        <v>1142</v>
      </c>
      <c r="S123" s="21" t="s">
        <v>1142</v>
      </c>
      <c r="T123" s="21">
        <v>13775.999999999998</v>
      </c>
      <c r="U123" s="21" t="str">
        <f>IFERROR(VLOOKUP(salesHistory[[#This Row],[order_no]],orderHistory[],22,FALSE),"")</f>
        <v>SUPPLY</v>
      </c>
    </row>
    <row r="124" spans="1:21">
      <c r="A124" s="439">
        <v>19</v>
      </c>
      <c r="B124" s="440" t="s">
        <v>195</v>
      </c>
      <c r="C124" s="441" t="s">
        <v>196</v>
      </c>
      <c r="D124" s="439">
        <v>6720</v>
      </c>
      <c r="E124" s="442">
        <v>2.0499999999999998</v>
      </c>
      <c r="F124" s="443"/>
      <c r="G124" s="442"/>
      <c r="H124" s="439"/>
      <c r="I124" s="439">
        <v>280</v>
      </c>
      <c r="J124" s="439">
        <v>0</v>
      </c>
      <c r="K124" s="439">
        <v>0</v>
      </c>
      <c r="L124" s="439">
        <v>1778</v>
      </c>
      <c r="M124" s="439">
        <v>1960</v>
      </c>
      <c r="N124" s="439">
        <v>4.4629200000000004</v>
      </c>
      <c r="O124" s="439" t="s">
        <v>189</v>
      </c>
      <c r="P124" s="439">
        <v>200</v>
      </c>
      <c r="Q124" s="439" t="s">
        <v>190</v>
      </c>
      <c r="R124" s="444" t="s">
        <v>1142</v>
      </c>
      <c r="S124" s="444" t="s">
        <v>1142</v>
      </c>
      <c r="T124" s="444">
        <v>13775.999999999998</v>
      </c>
      <c r="U124" s="21" t="str">
        <f>IFERROR(VLOOKUP(salesHistory[[#This Row],[order_no]],orderHistory[],22,FALSE),"")</f>
        <v>SUPPLY</v>
      </c>
    </row>
    <row r="125" spans="1:21">
      <c r="A125" s="439">
        <v>19</v>
      </c>
      <c r="B125" s="440" t="s">
        <v>197</v>
      </c>
      <c r="C125" s="441" t="s">
        <v>198</v>
      </c>
      <c r="D125" s="439">
        <v>6720</v>
      </c>
      <c r="E125" s="442">
        <v>2.0499999999999998</v>
      </c>
      <c r="F125" s="443"/>
      <c r="G125" s="442"/>
      <c r="H125" s="439"/>
      <c r="I125" s="439">
        <v>280</v>
      </c>
      <c r="J125" s="439">
        <v>0</v>
      </c>
      <c r="K125" s="439">
        <v>0</v>
      </c>
      <c r="L125" s="439">
        <v>1778</v>
      </c>
      <c r="M125" s="439">
        <v>1960</v>
      </c>
      <c r="N125" s="439">
        <v>4.4629200000000004</v>
      </c>
      <c r="O125" s="439" t="s">
        <v>189</v>
      </c>
      <c r="P125" s="439">
        <v>200</v>
      </c>
      <c r="Q125" s="439" t="s">
        <v>190</v>
      </c>
      <c r="R125" s="444" t="s">
        <v>1142</v>
      </c>
      <c r="S125" s="444" t="s">
        <v>1142</v>
      </c>
      <c r="T125" s="444">
        <v>13775.999999999998</v>
      </c>
      <c r="U125" s="444" t="str">
        <f>IFERROR(VLOOKUP(salesHistory[[#This Row],[order_no]],orderHistory[],22,FALSE),"")</f>
        <v>SUPPLY</v>
      </c>
    </row>
    <row r="126" spans="1:21">
      <c r="A126" s="7">
        <v>20</v>
      </c>
      <c r="B126" s="199" t="s">
        <v>111</v>
      </c>
      <c r="C126" s="200" t="s">
        <v>112</v>
      </c>
      <c r="E126" s="72"/>
      <c r="H126" s="7">
        <v>1</v>
      </c>
      <c r="I126" s="7">
        <v>0</v>
      </c>
      <c r="K126" s="7">
        <v>1</v>
      </c>
      <c r="L126" s="7">
        <v>0.3133333333333333</v>
      </c>
      <c r="M126" s="7">
        <v>0.34291666666666665</v>
      </c>
      <c r="N126" s="7">
        <v>0</v>
      </c>
      <c r="O126" s="7" t="s">
        <v>74</v>
      </c>
      <c r="P126" s="7">
        <v>100</v>
      </c>
      <c r="Q126" s="7"/>
      <c r="R126" s="21">
        <v>13057</v>
      </c>
      <c r="S126" s="21">
        <v>5</v>
      </c>
      <c r="T126" s="21">
        <v>5</v>
      </c>
      <c r="U126" s="21" t="str">
        <f>IFERROR(VLOOKUP(salesHistory[[#This Row],[order_no]],orderHistory[],22,FALSE),"")</f>
        <v>SAMPLING</v>
      </c>
    </row>
    <row r="127" spans="1:21">
      <c r="A127" s="7">
        <v>20</v>
      </c>
      <c r="B127" s="199" t="s">
        <v>113</v>
      </c>
      <c r="C127" s="200" t="s">
        <v>114</v>
      </c>
      <c r="E127" s="72"/>
      <c r="H127" s="7">
        <v>1</v>
      </c>
      <c r="I127" s="7">
        <v>0</v>
      </c>
      <c r="K127" s="7">
        <v>1</v>
      </c>
      <c r="L127" s="7">
        <v>0.3133333333333333</v>
      </c>
      <c r="M127" s="7">
        <v>0.34291666666666665</v>
      </c>
      <c r="N127" s="7">
        <v>0</v>
      </c>
      <c r="O127" s="7" t="s">
        <v>74</v>
      </c>
      <c r="P127" s="7">
        <v>100</v>
      </c>
      <c r="Q127" s="7"/>
      <c r="R127" s="21">
        <v>12936</v>
      </c>
      <c r="S127" s="21">
        <v>5</v>
      </c>
      <c r="T127" s="21">
        <v>5</v>
      </c>
      <c r="U127" s="21" t="str">
        <f>IFERROR(VLOOKUP(salesHistory[[#This Row],[order_no]],orderHistory[],22,FALSE),"")</f>
        <v>SAMPLING</v>
      </c>
    </row>
    <row r="128" spans="1:21">
      <c r="A128" s="7">
        <v>20</v>
      </c>
      <c r="B128" s="199" t="s">
        <v>115</v>
      </c>
      <c r="C128" s="200" t="s">
        <v>116</v>
      </c>
      <c r="E128" s="72"/>
      <c r="H128" s="7">
        <v>1</v>
      </c>
      <c r="I128" s="7">
        <v>0</v>
      </c>
      <c r="K128" s="7">
        <v>1</v>
      </c>
      <c r="L128" s="7">
        <v>0.3133333333333333</v>
      </c>
      <c r="M128" s="7">
        <v>0.34291666666666665</v>
      </c>
      <c r="N128" s="7">
        <v>0</v>
      </c>
      <c r="O128" s="7" t="s">
        <v>74</v>
      </c>
      <c r="P128" s="7">
        <v>100</v>
      </c>
      <c r="Q128" s="7"/>
      <c r="R128" s="21">
        <v>12592</v>
      </c>
      <c r="S128" s="21">
        <v>5</v>
      </c>
      <c r="T128" s="21">
        <v>5</v>
      </c>
      <c r="U128" s="21" t="str">
        <f>IFERROR(VLOOKUP(salesHistory[[#This Row],[order_no]],orderHistory[],22,FALSE),"")</f>
        <v>SAMPLING</v>
      </c>
    </row>
    <row r="129" spans="1:21">
      <c r="A129" s="7">
        <v>20</v>
      </c>
      <c r="B129" s="199" t="s">
        <v>117</v>
      </c>
      <c r="C129" s="200" t="s">
        <v>118</v>
      </c>
      <c r="E129" s="72"/>
      <c r="H129" s="7">
        <v>1</v>
      </c>
      <c r="I129" s="7">
        <v>0</v>
      </c>
      <c r="K129" s="7">
        <v>1</v>
      </c>
      <c r="L129" s="7">
        <v>0.3133333333333333</v>
      </c>
      <c r="M129" s="7">
        <v>0.34291666666666665</v>
      </c>
      <c r="N129" s="7">
        <v>0</v>
      </c>
      <c r="O129" s="7" t="s">
        <v>74</v>
      </c>
      <c r="P129" s="7">
        <v>100</v>
      </c>
      <c r="Q129" s="7"/>
      <c r="R129" s="21">
        <v>9822</v>
      </c>
      <c r="S129" s="21">
        <v>5</v>
      </c>
      <c r="T129" s="21">
        <v>5</v>
      </c>
      <c r="U129" s="21" t="str">
        <f>IFERROR(VLOOKUP(salesHistory[[#This Row],[order_no]],orderHistory[],22,FALSE),"")</f>
        <v>SAMPLING</v>
      </c>
    </row>
    <row r="130" spans="1:21">
      <c r="A130" s="7">
        <v>20</v>
      </c>
      <c r="B130" s="199" t="s">
        <v>119</v>
      </c>
      <c r="C130" s="200" t="s">
        <v>120</v>
      </c>
      <c r="E130" s="72"/>
      <c r="H130" s="7">
        <v>1</v>
      </c>
      <c r="I130" s="7">
        <v>0</v>
      </c>
      <c r="K130" s="7">
        <v>1</v>
      </c>
      <c r="L130" s="7">
        <v>0.28625</v>
      </c>
      <c r="M130" s="7">
        <v>0.31499999999999995</v>
      </c>
      <c r="N130" s="7">
        <v>0</v>
      </c>
      <c r="O130" s="7" t="s">
        <v>74</v>
      </c>
      <c r="P130" s="7">
        <v>100</v>
      </c>
      <c r="Q130" s="7"/>
      <c r="R130" s="21">
        <v>9142</v>
      </c>
      <c r="S130" s="21">
        <v>5</v>
      </c>
      <c r="T130" s="21">
        <v>5</v>
      </c>
      <c r="U130" s="21" t="str">
        <f>IFERROR(VLOOKUP(salesHistory[[#This Row],[order_no]],orderHistory[],22,FALSE),"")</f>
        <v>SAMPLING</v>
      </c>
    </row>
    <row r="131" spans="1:21">
      <c r="A131" s="7">
        <v>20</v>
      </c>
      <c r="B131" s="199" t="s">
        <v>121</v>
      </c>
      <c r="C131" s="200" t="s">
        <v>122</v>
      </c>
      <c r="E131" s="72"/>
      <c r="H131" s="7">
        <v>1</v>
      </c>
      <c r="I131" s="7">
        <v>0</v>
      </c>
      <c r="K131" s="7">
        <v>1</v>
      </c>
      <c r="L131" s="7">
        <v>0.28625</v>
      </c>
      <c r="M131" s="7">
        <v>0.31499999999999995</v>
      </c>
      <c r="N131" s="7">
        <v>0</v>
      </c>
      <c r="O131" s="7" t="s">
        <v>74</v>
      </c>
      <c r="P131" s="7">
        <v>100</v>
      </c>
      <c r="Q131" s="7"/>
      <c r="R131" s="21">
        <v>8908</v>
      </c>
      <c r="S131" s="21">
        <v>5</v>
      </c>
      <c r="T131" s="21">
        <v>5</v>
      </c>
      <c r="U131" s="21" t="str">
        <f>IFERROR(VLOOKUP(salesHistory[[#This Row],[order_no]],orderHistory[],22,FALSE),"")</f>
        <v>SAMPLING</v>
      </c>
    </row>
    <row r="132" spans="1:21">
      <c r="A132" s="7">
        <v>20</v>
      </c>
      <c r="B132" s="199" t="s">
        <v>123</v>
      </c>
      <c r="C132" s="200" t="s">
        <v>124</v>
      </c>
      <c r="E132" s="72"/>
      <c r="H132" s="7">
        <v>1</v>
      </c>
      <c r="I132" s="7">
        <v>0</v>
      </c>
      <c r="K132" s="7">
        <v>1</v>
      </c>
      <c r="L132" s="7">
        <v>0.28625</v>
      </c>
      <c r="M132" s="7">
        <v>0.31499999999999995</v>
      </c>
      <c r="N132" s="7">
        <v>0</v>
      </c>
      <c r="O132" s="7" t="s">
        <v>74</v>
      </c>
      <c r="P132" s="7">
        <v>100</v>
      </c>
      <c r="Q132" s="7"/>
      <c r="R132" s="21">
        <v>6410</v>
      </c>
      <c r="S132" s="21">
        <v>5</v>
      </c>
      <c r="T132" s="21">
        <v>5</v>
      </c>
      <c r="U132" s="21" t="str">
        <f>IFERROR(VLOOKUP(salesHistory[[#This Row],[order_no]],orderHistory[],22,FALSE),"")</f>
        <v>SAMPLING</v>
      </c>
    </row>
    <row r="133" spans="1:21">
      <c r="A133" s="7">
        <v>20</v>
      </c>
      <c r="B133" s="199" t="s">
        <v>125</v>
      </c>
      <c r="C133" s="200" t="s">
        <v>126</v>
      </c>
      <c r="E133" s="72"/>
      <c r="H133" s="7">
        <v>1</v>
      </c>
      <c r="I133" s="7">
        <v>0</v>
      </c>
      <c r="K133" s="7">
        <v>1</v>
      </c>
      <c r="L133" s="7">
        <v>0.28625</v>
      </c>
      <c r="M133" s="7">
        <v>0.31499999999999995</v>
      </c>
      <c r="N133" s="7">
        <v>0</v>
      </c>
      <c r="O133" s="7" t="s">
        <v>74</v>
      </c>
      <c r="P133" s="7">
        <v>100</v>
      </c>
      <c r="Q133" s="7"/>
      <c r="R133" s="21">
        <v>6478</v>
      </c>
      <c r="S133" s="21">
        <v>5</v>
      </c>
      <c r="T133" s="21">
        <v>5</v>
      </c>
      <c r="U133" s="21" t="str">
        <f>IFERROR(VLOOKUP(salesHistory[[#This Row],[order_no]],orderHistory[],22,FALSE),"")</f>
        <v>SAMPLING</v>
      </c>
    </row>
    <row r="134" spans="1:21">
      <c r="A134" s="7">
        <v>20</v>
      </c>
      <c r="B134" s="199" t="s">
        <v>127</v>
      </c>
      <c r="C134" s="200" t="s">
        <v>129</v>
      </c>
      <c r="E134" s="72"/>
      <c r="H134" s="7">
        <v>1</v>
      </c>
      <c r="I134" s="7">
        <v>0</v>
      </c>
      <c r="K134" s="7">
        <v>1</v>
      </c>
      <c r="L134" s="7">
        <v>0.39500000000000002</v>
      </c>
      <c r="M134" s="7">
        <v>0.41249999999999998</v>
      </c>
      <c r="N134" s="7">
        <v>0</v>
      </c>
      <c r="O134" s="7" t="s">
        <v>128</v>
      </c>
      <c r="P134" s="7">
        <v>100</v>
      </c>
      <c r="Q134" s="7"/>
      <c r="R134" s="21">
        <v>5041</v>
      </c>
      <c r="S134" s="21">
        <v>11.68</v>
      </c>
      <c r="T134" s="21">
        <v>11.68</v>
      </c>
      <c r="U134" s="21" t="str">
        <f>IFERROR(VLOOKUP(salesHistory[[#This Row],[order_no]],orderHistory[],22,FALSE),"")</f>
        <v>SAMPLING</v>
      </c>
    </row>
    <row r="135" spans="1:21">
      <c r="A135" s="7">
        <v>20</v>
      </c>
      <c r="B135" s="199" t="s">
        <v>130</v>
      </c>
      <c r="C135" s="200" t="s">
        <v>131</v>
      </c>
      <c r="E135" s="72"/>
      <c r="H135" s="7">
        <v>1</v>
      </c>
      <c r="I135" s="7">
        <v>0</v>
      </c>
      <c r="K135" s="7">
        <v>1</v>
      </c>
      <c r="L135" s="7">
        <v>0.39500000000000002</v>
      </c>
      <c r="M135" s="7">
        <v>0.41249999999999998</v>
      </c>
      <c r="N135" s="7">
        <v>0</v>
      </c>
      <c r="O135" s="7" t="s">
        <v>128</v>
      </c>
      <c r="P135" s="7">
        <v>100</v>
      </c>
      <c r="Q135" s="7"/>
      <c r="R135" s="21">
        <v>1535</v>
      </c>
      <c r="S135" s="21">
        <v>11.68</v>
      </c>
      <c r="T135" s="21">
        <v>11.68</v>
      </c>
      <c r="U135" s="21" t="str">
        <f>IFERROR(VLOOKUP(salesHistory[[#This Row],[order_no]],orderHistory[],22,FALSE),"")</f>
        <v>SAMPLING</v>
      </c>
    </row>
    <row r="136" spans="1:21">
      <c r="A136" s="7">
        <v>20</v>
      </c>
      <c r="B136" s="199" t="s">
        <v>132</v>
      </c>
      <c r="C136" s="200" t="s">
        <v>843</v>
      </c>
      <c r="E136" s="72"/>
      <c r="H136" s="7">
        <v>1</v>
      </c>
      <c r="I136" s="7">
        <v>0</v>
      </c>
      <c r="K136" s="7">
        <v>1</v>
      </c>
      <c r="L136" s="7">
        <v>0.39500000000000002</v>
      </c>
      <c r="M136" s="7">
        <v>0.41249999999999998</v>
      </c>
      <c r="N136" s="7">
        <v>0</v>
      </c>
      <c r="O136" s="7" t="s">
        <v>128</v>
      </c>
      <c r="P136" s="7">
        <v>100</v>
      </c>
      <c r="Q136" s="7"/>
      <c r="R136" s="21">
        <v>1665</v>
      </c>
      <c r="S136" s="21">
        <v>11.68</v>
      </c>
      <c r="T136" s="21">
        <v>11.68</v>
      </c>
      <c r="U136" s="21" t="str">
        <f>IFERROR(VLOOKUP(salesHistory[[#This Row],[order_no]],orderHistory[],22,FALSE),"")</f>
        <v>SAMPLING</v>
      </c>
    </row>
    <row r="137" spans="1:21">
      <c r="A137" s="7">
        <v>20</v>
      </c>
      <c r="B137" s="199" t="s">
        <v>134</v>
      </c>
      <c r="C137" s="200" t="s">
        <v>135</v>
      </c>
      <c r="E137" s="72"/>
      <c r="H137" s="7">
        <v>1</v>
      </c>
      <c r="I137" s="7">
        <v>0</v>
      </c>
      <c r="K137" s="7">
        <v>1</v>
      </c>
      <c r="L137" s="7">
        <v>0.39500000000000002</v>
      </c>
      <c r="M137" s="7">
        <v>0.41249999999999998</v>
      </c>
      <c r="N137" s="7">
        <v>0</v>
      </c>
      <c r="O137" s="7" t="s">
        <v>128</v>
      </c>
      <c r="P137" s="7">
        <v>100</v>
      </c>
      <c r="Q137" s="7"/>
      <c r="R137" s="21">
        <v>5724</v>
      </c>
      <c r="S137" s="21">
        <v>11.68</v>
      </c>
      <c r="T137" s="21">
        <v>11.68</v>
      </c>
      <c r="U137" s="21" t="str">
        <f>IFERROR(VLOOKUP(salesHistory[[#This Row],[order_no]],orderHistory[],22,FALSE),"")</f>
        <v>SAMPLING</v>
      </c>
    </row>
    <row r="138" spans="1:21">
      <c r="A138" s="7">
        <v>20</v>
      </c>
      <c r="B138" s="199" t="s">
        <v>136</v>
      </c>
      <c r="C138" s="200" t="s">
        <v>137</v>
      </c>
      <c r="E138" s="72"/>
      <c r="H138" s="7">
        <v>1</v>
      </c>
      <c r="I138" s="7">
        <v>0</v>
      </c>
      <c r="K138" s="7">
        <v>1</v>
      </c>
      <c r="L138" s="7">
        <v>0.37999999999999995</v>
      </c>
      <c r="M138" s="7">
        <v>0.39583333333333331</v>
      </c>
      <c r="N138" s="7">
        <v>0</v>
      </c>
      <c r="O138" s="7" t="s">
        <v>128</v>
      </c>
      <c r="P138" s="7">
        <v>100</v>
      </c>
      <c r="Q138" s="7"/>
      <c r="R138" s="21">
        <v>865</v>
      </c>
      <c r="S138" s="21">
        <v>11.68</v>
      </c>
      <c r="T138" s="21">
        <v>11.68</v>
      </c>
      <c r="U138" s="21" t="str">
        <f>IFERROR(VLOOKUP(salesHistory[[#This Row],[order_no]],orderHistory[],22,FALSE),"")</f>
        <v>SAMPLING</v>
      </c>
    </row>
    <row r="139" spans="1:21">
      <c r="A139" s="7">
        <v>20</v>
      </c>
      <c r="B139" s="199" t="s">
        <v>138</v>
      </c>
      <c r="C139" s="200" t="s">
        <v>139</v>
      </c>
      <c r="E139" s="72"/>
      <c r="H139" s="7">
        <v>1</v>
      </c>
      <c r="I139" s="7">
        <v>0</v>
      </c>
      <c r="K139" s="7">
        <v>1</v>
      </c>
      <c r="L139" s="7">
        <v>0.37999999999999995</v>
      </c>
      <c r="M139" s="7">
        <v>0.39583333333333331</v>
      </c>
      <c r="N139" s="7">
        <v>0</v>
      </c>
      <c r="O139" s="7" t="s">
        <v>128</v>
      </c>
      <c r="P139" s="7">
        <v>100</v>
      </c>
      <c r="Q139" s="7"/>
      <c r="R139" s="21">
        <v>576</v>
      </c>
      <c r="S139" s="21">
        <v>11.68</v>
      </c>
      <c r="T139" s="21">
        <v>11.68</v>
      </c>
      <c r="U139" s="21" t="str">
        <f>IFERROR(VLOOKUP(salesHistory[[#This Row],[order_no]],orderHistory[],22,FALSE),"")</f>
        <v>SAMPLING</v>
      </c>
    </row>
    <row r="140" spans="1:21">
      <c r="A140" s="7">
        <v>20</v>
      </c>
      <c r="B140" s="199" t="s">
        <v>140</v>
      </c>
      <c r="C140" s="200" t="s">
        <v>141</v>
      </c>
      <c r="E140" s="72"/>
      <c r="H140" s="7">
        <v>1</v>
      </c>
      <c r="I140" s="7">
        <v>0</v>
      </c>
      <c r="K140" s="7">
        <v>1</v>
      </c>
      <c r="L140" s="7">
        <v>0.37999999999999995</v>
      </c>
      <c r="M140" s="7">
        <v>0.39583333333333331</v>
      </c>
      <c r="N140" s="7">
        <v>0</v>
      </c>
      <c r="O140" s="7" t="s">
        <v>128</v>
      </c>
      <c r="P140" s="7">
        <v>100</v>
      </c>
      <c r="Q140" s="7"/>
      <c r="R140" s="21">
        <v>1979</v>
      </c>
      <c r="S140" s="21">
        <v>11.68</v>
      </c>
      <c r="T140" s="21">
        <v>11.68</v>
      </c>
      <c r="U140" s="21" t="str">
        <f>IFERROR(VLOOKUP(salesHistory[[#This Row],[order_no]],orderHistory[],22,FALSE),"")</f>
        <v>SAMPLING</v>
      </c>
    </row>
    <row r="141" spans="1:21">
      <c r="A141" s="7">
        <v>20</v>
      </c>
      <c r="B141" s="199" t="s">
        <v>142</v>
      </c>
      <c r="C141" s="200" t="s">
        <v>143</v>
      </c>
      <c r="E141" s="72"/>
      <c r="H141" s="7">
        <v>1</v>
      </c>
      <c r="I141" s="7">
        <v>0</v>
      </c>
      <c r="K141" s="7">
        <v>1</v>
      </c>
      <c r="L141" s="7">
        <v>0.37999999999999995</v>
      </c>
      <c r="M141" s="7">
        <v>0.39583333333333331</v>
      </c>
      <c r="N141" s="7">
        <v>0</v>
      </c>
      <c r="O141" s="7" t="s">
        <v>128</v>
      </c>
      <c r="P141" s="7">
        <v>100</v>
      </c>
      <c r="Q141" s="7"/>
      <c r="R141" s="21">
        <v>2589</v>
      </c>
      <c r="S141" s="21">
        <v>11.68</v>
      </c>
      <c r="T141" s="21">
        <v>11.68</v>
      </c>
      <c r="U141" s="21" t="str">
        <f>IFERROR(VLOOKUP(salesHistory[[#This Row],[order_no]],orderHistory[],22,FALSE),"")</f>
        <v>SAMPLING</v>
      </c>
    </row>
    <row r="142" spans="1:21">
      <c r="A142" s="7">
        <v>20</v>
      </c>
      <c r="B142" s="199" t="s">
        <v>161</v>
      </c>
      <c r="C142" s="200" t="s">
        <v>162</v>
      </c>
      <c r="E142" s="72"/>
      <c r="H142" s="7">
        <v>1</v>
      </c>
      <c r="I142" s="7">
        <v>0</v>
      </c>
      <c r="K142" s="7">
        <v>1</v>
      </c>
      <c r="L142" s="7">
        <v>0.39500000000000002</v>
      </c>
      <c r="M142" s="7">
        <v>0.41249999999999998</v>
      </c>
      <c r="N142" s="7">
        <v>0</v>
      </c>
      <c r="O142" s="7" t="s">
        <v>128</v>
      </c>
      <c r="P142" s="7">
        <v>100</v>
      </c>
      <c r="Q142" s="7"/>
      <c r="R142" s="21">
        <v>1767</v>
      </c>
      <c r="S142" s="21">
        <v>11.68</v>
      </c>
      <c r="T142" s="21">
        <v>11.68</v>
      </c>
      <c r="U142" s="21" t="str">
        <f>IFERROR(VLOOKUP(salesHistory[[#This Row],[order_no]],orderHistory[],22,FALSE),"")</f>
        <v>SAMPLING</v>
      </c>
    </row>
    <row r="143" spans="1:21">
      <c r="A143" s="7">
        <v>20</v>
      </c>
      <c r="B143" s="199" t="s">
        <v>163</v>
      </c>
      <c r="C143" s="200" t="s">
        <v>164</v>
      </c>
      <c r="E143" s="72"/>
      <c r="H143" s="7">
        <v>1</v>
      </c>
      <c r="I143" s="7">
        <v>0</v>
      </c>
      <c r="K143" s="7">
        <v>1</v>
      </c>
      <c r="L143" s="7">
        <v>0.39500000000000002</v>
      </c>
      <c r="M143" s="7">
        <v>0.41249999999999998</v>
      </c>
      <c r="N143" s="7">
        <v>0</v>
      </c>
      <c r="O143" s="7" t="s">
        <v>128</v>
      </c>
      <c r="P143" s="7">
        <v>100</v>
      </c>
      <c r="Q143" s="7"/>
      <c r="R143" s="21">
        <v>1474</v>
      </c>
      <c r="S143" s="21">
        <v>11.68</v>
      </c>
      <c r="T143" s="21">
        <v>11.68</v>
      </c>
      <c r="U143" s="21" t="str">
        <f>IFERROR(VLOOKUP(salesHistory[[#This Row],[order_no]],orderHistory[],22,FALSE),"")</f>
        <v>SAMPLING</v>
      </c>
    </row>
    <row r="144" spans="1:21">
      <c r="A144" s="7">
        <v>20</v>
      </c>
      <c r="B144" s="199" t="s">
        <v>36</v>
      </c>
      <c r="C144" s="200" t="s">
        <v>39</v>
      </c>
      <c r="E144" s="72"/>
      <c r="H144" s="7">
        <v>1</v>
      </c>
      <c r="I144" s="7">
        <v>0</v>
      </c>
      <c r="K144" s="7">
        <v>1</v>
      </c>
      <c r="L144" s="7">
        <v>0.42</v>
      </c>
      <c r="M144" s="7">
        <v>0.48249999999999998</v>
      </c>
      <c r="N144" s="7">
        <v>0</v>
      </c>
      <c r="O144" s="7" t="s">
        <v>37</v>
      </c>
      <c r="P144" s="7">
        <v>50</v>
      </c>
      <c r="Q144" s="7">
        <v>0</v>
      </c>
      <c r="R144" s="21">
        <v>398</v>
      </c>
      <c r="S144" s="21">
        <v>5.23</v>
      </c>
      <c r="T144" s="21">
        <v>5.23</v>
      </c>
      <c r="U144" s="21" t="str">
        <f>IFERROR(VLOOKUP(salesHistory[[#This Row],[order_no]],orderHistory[],22,FALSE),"")</f>
        <v>SAMPLING</v>
      </c>
    </row>
    <row r="145" spans="1:21">
      <c r="A145" s="7">
        <v>20</v>
      </c>
      <c r="B145" s="199" t="s">
        <v>48</v>
      </c>
      <c r="C145" s="200" t="s">
        <v>50</v>
      </c>
      <c r="E145" s="72"/>
      <c r="H145" s="7">
        <v>1</v>
      </c>
      <c r="I145" s="7">
        <v>0</v>
      </c>
      <c r="K145" s="7">
        <v>1</v>
      </c>
      <c r="L145" s="7">
        <v>0.39833333333333332</v>
      </c>
      <c r="M145" s="7">
        <v>0.4375</v>
      </c>
      <c r="N145" s="7">
        <v>0</v>
      </c>
      <c r="O145" s="7" t="s">
        <v>37</v>
      </c>
      <c r="P145" s="7">
        <v>50</v>
      </c>
      <c r="Q145" s="7">
        <v>0</v>
      </c>
      <c r="R145" s="21">
        <v>471</v>
      </c>
      <c r="S145" s="21">
        <v>5.23</v>
      </c>
      <c r="T145" s="21">
        <v>5.23</v>
      </c>
      <c r="U145" s="21" t="str">
        <f>IFERROR(VLOOKUP(salesHistory[[#This Row],[order_no]],orderHistory[],22,FALSE),"")</f>
        <v>SAMPLING</v>
      </c>
    </row>
    <row r="146" spans="1:21">
      <c r="A146" s="7">
        <v>20</v>
      </c>
      <c r="B146" s="199" t="s">
        <v>57</v>
      </c>
      <c r="C146" s="200" t="s">
        <v>58</v>
      </c>
      <c r="E146" s="72"/>
      <c r="H146" s="7">
        <v>1</v>
      </c>
      <c r="I146" s="7">
        <v>0</v>
      </c>
      <c r="K146" s="7">
        <v>1</v>
      </c>
      <c r="L146" s="7">
        <v>0.51416666666666666</v>
      </c>
      <c r="M146" s="7">
        <v>0.56416666666666659</v>
      </c>
      <c r="N146" s="7">
        <v>0</v>
      </c>
      <c r="O146" s="7" t="s">
        <v>37</v>
      </c>
      <c r="P146" s="7">
        <v>50</v>
      </c>
      <c r="Q146" s="7">
        <v>0</v>
      </c>
      <c r="R146" s="21">
        <v>309</v>
      </c>
      <c r="S146" s="21">
        <v>6.97</v>
      </c>
      <c r="T146" s="21">
        <v>6.97</v>
      </c>
      <c r="U146" s="21" t="str">
        <f>IFERROR(VLOOKUP(salesHistory[[#This Row],[order_no]],orderHistory[],22,FALSE),"")</f>
        <v>SAMPLING</v>
      </c>
    </row>
    <row r="147" spans="1:21">
      <c r="A147" s="7">
        <v>20</v>
      </c>
      <c r="B147" s="199" t="s">
        <v>65</v>
      </c>
      <c r="C147" s="200" t="s">
        <v>66</v>
      </c>
      <c r="E147" s="72"/>
      <c r="H147" s="7">
        <v>1</v>
      </c>
      <c r="I147" s="7">
        <v>0</v>
      </c>
      <c r="K147" s="7">
        <v>1</v>
      </c>
      <c r="L147" s="7">
        <v>0.47499999999999998</v>
      </c>
      <c r="M147" s="7">
        <v>0.52499999999999991</v>
      </c>
      <c r="N147" s="7">
        <v>0</v>
      </c>
      <c r="O147" s="7" t="s">
        <v>37</v>
      </c>
      <c r="P147" s="7">
        <v>50</v>
      </c>
      <c r="Q147" s="7">
        <v>0</v>
      </c>
      <c r="R147" s="21">
        <v>11</v>
      </c>
      <c r="S147" s="21">
        <v>6.97</v>
      </c>
      <c r="T147" s="21">
        <v>6.97</v>
      </c>
      <c r="U147" s="21" t="str">
        <f>IFERROR(VLOOKUP(salesHistory[[#This Row],[order_no]],orderHistory[],22,FALSE),"")</f>
        <v>SAMPLING</v>
      </c>
    </row>
    <row r="148" spans="1:21">
      <c r="A148" s="7">
        <v>22</v>
      </c>
      <c r="B148" s="199" t="s">
        <v>127</v>
      </c>
      <c r="C148" s="200" t="s">
        <v>129</v>
      </c>
      <c r="E148" s="72"/>
      <c r="H148" s="7">
        <v>3</v>
      </c>
      <c r="I148" s="7">
        <v>0</v>
      </c>
      <c r="K148" s="7">
        <v>1</v>
      </c>
      <c r="L148" s="7">
        <v>1.1850000000000001</v>
      </c>
      <c r="M148" s="7">
        <v>1.2375</v>
      </c>
      <c r="N148" s="7">
        <v>0</v>
      </c>
      <c r="O148" s="7" t="s">
        <v>128</v>
      </c>
      <c r="P148" s="7">
        <v>100</v>
      </c>
      <c r="Q148" s="7"/>
      <c r="R148" s="21">
        <v>5041</v>
      </c>
      <c r="S148" s="21">
        <v>11.68</v>
      </c>
      <c r="T148" s="21">
        <v>35.04</v>
      </c>
      <c r="U148" s="21" t="str">
        <f>IFERROR(VLOOKUP(salesHistory[[#This Row],[order_no]],orderHistory[],22,FALSE),"")</f>
        <v>SAMPLING</v>
      </c>
    </row>
    <row r="149" spans="1:21">
      <c r="A149" s="7">
        <v>22</v>
      </c>
      <c r="B149" s="199" t="s">
        <v>130</v>
      </c>
      <c r="C149" s="200" t="s">
        <v>131</v>
      </c>
      <c r="E149" s="72"/>
      <c r="H149" s="7">
        <v>3</v>
      </c>
      <c r="I149" s="7">
        <v>0</v>
      </c>
      <c r="K149" s="7">
        <v>1</v>
      </c>
      <c r="L149" s="7">
        <v>1.1850000000000001</v>
      </c>
      <c r="M149" s="7">
        <v>1.2375</v>
      </c>
      <c r="N149" s="7">
        <v>0</v>
      </c>
      <c r="O149" s="7" t="s">
        <v>128</v>
      </c>
      <c r="P149" s="7">
        <v>100</v>
      </c>
      <c r="Q149" s="7"/>
      <c r="R149" s="21">
        <v>1535</v>
      </c>
      <c r="S149" s="21">
        <v>11.68</v>
      </c>
      <c r="T149" s="21">
        <v>35.04</v>
      </c>
      <c r="U149" s="21" t="str">
        <f>IFERROR(VLOOKUP(salesHistory[[#This Row],[order_no]],orderHistory[],22,FALSE),"")</f>
        <v>SAMPLING</v>
      </c>
    </row>
    <row r="150" spans="1:21">
      <c r="A150" s="7">
        <v>22</v>
      </c>
      <c r="B150" s="199" t="s">
        <v>132</v>
      </c>
      <c r="C150" s="200" t="s">
        <v>843</v>
      </c>
      <c r="E150" s="72"/>
      <c r="H150" s="7">
        <v>3</v>
      </c>
      <c r="I150" s="7">
        <v>0</v>
      </c>
      <c r="K150" s="7">
        <v>1</v>
      </c>
      <c r="L150" s="7">
        <v>1.1850000000000001</v>
      </c>
      <c r="M150" s="7">
        <v>1.2375</v>
      </c>
      <c r="N150" s="7">
        <v>0</v>
      </c>
      <c r="O150" s="7" t="s">
        <v>128</v>
      </c>
      <c r="P150" s="7">
        <v>100</v>
      </c>
      <c r="Q150" s="7"/>
      <c r="R150" s="21">
        <v>1665</v>
      </c>
      <c r="S150" s="21">
        <v>11.68</v>
      </c>
      <c r="T150" s="21">
        <v>35.04</v>
      </c>
      <c r="U150" s="21" t="str">
        <f>IFERROR(VLOOKUP(salesHistory[[#This Row],[order_no]],orderHistory[],22,FALSE),"")</f>
        <v>SAMPLING</v>
      </c>
    </row>
    <row r="151" spans="1:21">
      <c r="A151" s="7">
        <v>22</v>
      </c>
      <c r="B151" s="199" t="s">
        <v>134</v>
      </c>
      <c r="C151" s="200" t="s">
        <v>135</v>
      </c>
      <c r="E151" s="72"/>
      <c r="H151" s="7">
        <v>3</v>
      </c>
      <c r="I151" s="7">
        <v>0</v>
      </c>
      <c r="K151" s="7">
        <v>1</v>
      </c>
      <c r="L151" s="7">
        <v>1.1850000000000001</v>
      </c>
      <c r="M151" s="7">
        <v>1.2375</v>
      </c>
      <c r="N151" s="7">
        <v>0</v>
      </c>
      <c r="O151" s="7" t="s">
        <v>128</v>
      </c>
      <c r="P151" s="7">
        <v>100</v>
      </c>
      <c r="Q151" s="7"/>
      <c r="R151" s="21">
        <v>5724</v>
      </c>
      <c r="S151" s="21">
        <v>11.68</v>
      </c>
      <c r="T151" s="21">
        <v>35.04</v>
      </c>
      <c r="U151" s="21" t="str">
        <f>IFERROR(VLOOKUP(salesHistory[[#This Row],[order_no]],orderHistory[],22,FALSE),"")</f>
        <v>SAMPLING</v>
      </c>
    </row>
    <row r="152" spans="1:21">
      <c r="A152" s="7">
        <v>22</v>
      </c>
      <c r="B152" s="199" t="s">
        <v>136</v>
      </c>
      <c r="C152" s="200" t="s">
        <v>137</v>
      </c>
      <c r="E152" s="72"/>
      <c r="H152" s="7">
        <v>3</v>
      </c>
      <c r="I152" s="7">
        <v>0</v>
      </c>
      <c r="K152" s="7">
        <v>1</v>
      </c>
      <c r="L152" s="7">
        <v>1.1399999999999999</v>
      </c>
      <c r="M152" s="7">
        <v>1.1875</v>
      </c>
      <c r="N152" s="7">
        <v>0</v>
      </c>
      <c r="O152" s="7" t="s">
        <v>128</v>
      </c>
      <c r="P152" s="7">
        <v>100</v>
      </c>
      <c r="Q152" s="7"/>
      <c r="R152" s="21">
        <v>865</v>
      </c>
      <c r="S152" s="21">
        <v>11.68</v>
      </c>
      <c r="T152" s="21">
        <v>35.04</v>
      </c>
      <c r="U152" s="21" t="str">
        <f>IFERROR(VLOOKUP(salesHistory[[#This Row],[order_no]],orderHistory[],22,FALSE),"")</f>
        <v>SAMPLING</v>
      </c>
    </row>
    <row r="153" spans="1:21">
      <c r="A153" s="7">
        <v>22</v>
      </c>
      <c r="B153" s="199" t="s">
        <v>138</v>
      </c>
      <c r="C153" s="200" t="s">
        <v>139</v>
      </c>
      <c r="E153" s="72"/>
      <c r="H153" s="7">
        <v>3</v>
      </c>
      <c r="I153" s="7">
        <v>0</v>
      </c>
      <c r="K153" s="7">
        <v>1</v>
      </c>
      <c r="L153" s="7">
        <v>1.1399999999999999</v>
      </c>
      <c r="M153" s="7">
        <v>1.1875</v>
      </c>
      <c r="N153" s="7">
        <v>0</v>
      </c>
      <c r="O153" s="7" t="s">
        <v>128</v>
      </c>
      <c r="P153" s="7">
        <v>100</v>
      </c>
      <c r="Q153" s="7"/>
      <c r="R153" s="21">
        <v>576</v>
      </c>
      <c r="S153" s="21">
        <v>11.68</v>
      </c>
      <c r="T153" s="21">
        <v>35.04</v>
      </c>
      <c r="U153" s="21" t="str">
        <f>IFERROR(VLOOKUP(salesHistory[[#This Row],[order_no]],orderHistory[],22,FALSE),"")</f>
        <v>SAMPLING</v>
      </c>
    </row>
    <row r="154" spans="1:21">
      <c r="A154" s="7">
        <v>22</v>
      </c>
      <c r="B154" s="199" t="s">
        <v>140</v>
      </c>
      <c r="C154" s="200" t="s">
        <v>141</v>
      </c>
      <c r="E154" s="72"/>
      <c r="H154" s="7">
        <v>3</v>
      </c>
      <c r="I154" s="7">
        <v>0</v>
      </c>
      <c r="K154" s="7">
        <v>1</v>
      </c>
      <c r="L154" s="7">
        <v>1.1399999999999999</v>
      </c>
      <c r="M154" s="7">
        <v>1.1875</v>
      </c>
      <c r="N154" s="7">
        <v>0</v>
      </c>
      <c r="O154" s="7" t="s">
        <v>128</v>
      </c>
      <c r="P154" s="7">
        <v>100</v>
      </c>
      <c r="Q154" s="7"/>
      <c r="R154" s="21">
        <v>1979</v>
      </c>
      <c r="S154" s="21">
        <v>11.68</v>
      </c>
      <c r="T154" s="21">
        <v>35.04</v>
      </c>
      <c r="U154" s="21" t="str">
        <f>IFERROR(VLOOKUP(salesHistory[[#This Row],[order_no]],orderHistory[],22,FALSE),"")</f>
        <v>SAMPLING</v>
      </c>
    </row>
    <row r="155" spans="1:21">
      <c r="A155" s="7">
        <v>22</v>
      </c>
      <c r="B155" s="199" t="s">
        <v>142</v>
      </c>
      <c r="C155" s="200" t="s">
        <v>143</v>
      </c>
      <c r="E155" s="72"/>
      <c r="H155" s="7">
        <v>3</v>
      </c>
      <c r="I155" s="7">
        <v>0</v>
      </c>
      <c r="K155" s="7">
        <v>1</v>
      </c>
      <c r="L155" s="7">
        <v>1.1399999999999999</v>
      </c>
      <c r="M155" s="7">
        <v>1.1875</v>
      </c>
      <c r="N155" s="7">
        <v>0</v>
      </c>
      <c r="O155" s="7" t="s">
        <v>128</v>
      </c>
      <c r="P155" s="7">
        <v>100</v>
      </c>
      <c r="Q155" s="7"/>
      <c r="R155" s="21">
        <v>2589</v>
      </c>
      <c r="S155" s="21">
        <v>11.68</v>
      </c>
      <c r="T155" s="21">
        <v>35.04</v>
      </c>
      <c r="U155" s="21" t="str">
        <f>IFERROR(VLOOKUP(salesHistory[[#This Row],[order_no]],orderHistory[],22,FALSE),"")</f>
        <v>SAMPLING</v>
      </c>
    </row>
    <row r="156" spans="1:21">
      <c r="A156" s="7">
        <v>22</v>
      </c>
      <c r="B156" s="199" t="s">
        <v>161</v>
      </c>
      <c r="C156" s="200" t="s">
        <v>162</v>
      </c>
      <c r="E156" s="72"/>
      <c r="H156" s="7">
        <v>3</v>
      </c>
      <c r="I156" s="7">
        <v>0</v>
      </c>
      <c r="K156" s="7">
        <v>1</v>
      </c>
      <c r="L156" s="7">
        <v>1.1850000000000001</v>
      </c>
      <c r="M156" s="7">
        <v>1.2375</v>
      </c>
      <c r="N156" s="7">
        <v>0</v>
      </c>
      <c r="O156" s="7" t="s">
        <v>128</v>
      </c>
      <c r="P156" s="7">
        <v>100</v>
      </c>
      <c r="Q156" s="7"/>
      <c r="R156" s="21">
        <v>1767</v>
      </c>
      <c r="S156" s="21">
        <v>11.68</v>
      </c>
      <c r="T156" s="21">
        <v>35.04</v>
      </c>
      <c r="U156" s="21" t="str">
        <f>IFERROR(VLOOKUP(salesHistory[[#This Row],[order_no]],orderHistory[],22,FALSE),"")</f>
        <v>SAMPLING</v>
      </c>
    </row>
    <row r="157" spans="1:21">
      <c r="A157" s="7">
        <v>22</v>
      </c>
      <c r="B157" s="199" t="s">
        <v>163</v>
      </c>
      <c r="C157" s="200" t="s">
        <v>164</v>
      </c>
      <c r="E157" s="72"/>
      <c r="H157" s="7">
        <v>3</v>
      </c>
      <c r="I157" s="7">
        <v>0</v>
      </c>
      <c r="K157" s="7">
        <v>1</v>
      </c>
      <c r="L157" s="7">
        <v>1.1850000000000001</v>
      </c>
      <c r="M157" s="7">
        <v>1.2375</v>
      </c>
      <c r="N157" s="7">
        <v>0</v>
      </c>
      <c r="O157" s="7" t="s">
        <v>128</v>
      </c>
      <c r="P157" s="7">
        <v>100</v>
      </c>
      <c r="Q157" s="7"/>
      <c r="R157" s="21">
        <v>1474</v>
      </c>
      <c r="S157" s="21">
        <v>11.68</v>
      </c>
      <c r="T157" s="21">
        <v>35.04</v>
      </c>
      <c r="U157" s="21" t="str">
        <f>IFERROR(VLOOKUP(salesHistory[[#This Row],[order_no]],orderHistory[],22,FALSE),"")</f>
        <v>SAMPLING</v>
      </c>
    </row>
    <row r="158" spans="1:21">
      <c r="A158" s="7">
        <v>23</v>
      </c>
      <c r="B158" s="199" t="s">
        <v>1015</v>
      </c>
      <c r="C158" s="200" t="s">
        <v>1053</v>
      </c>
      <c r="D158" s="7">
        <v>100</v>
      </c>
      <c r="E158" s="72">
        <v>20.5</v>
      </c>
      <c r="H158" s="7"/>
      <c r="I158" s="7" t="s">
        <v>1142</v>
      </c>
      <c r="J158" s="7" t="s">
        <v>1142</v>
      </c>
      <c r="K158" s="7" t="s">
        <v>1142</v>
      </c>
      <c r="L158" s="7" t="s">
        <v>1142</v>
      </c>
      <c r="M158" s="7" t="s">
        <v>1142</v>
      </c>
      <c r="N158" s="7" t="s">
        <v>1142</v>
      </c>
      <c r="O158" s="7" t="s">
        <v>1159</v>
      </c>
      <c r="P158" s="7">
        <v>0</v>
      </c>
      <c r="Q158" s="7">
        <v>0</v>
      </c>
      <c r="R158" s="21" t="s">
        <v>1142</v>
      </c>
      <c r="S158" s="21" t="s">
        <v>1142</v>
      </c>
      <c r="T158" s="21">
        <v>2050</v>
      </c>
      <c r="U158" s="21" t="str">
        <f>IFERROR(VLOOKUP(salesHistory[[#This Row],[order_no]],orderHistory[],22,FALSE),"")</f>
        <v>SALE</v>
      </c>
    </row>
    <row r="159" spans="1:21">
      <c r="A159" s="7">
        <v>23</v>
      </c>
      <c r="B159" s="199" t="s">
        <v>1016</v>
      </c>
      <c r="C159" s="200" t="s">
        <v>1054</v>
      </c>
      <c r="D159" s="7">
        <v>150</v>
      </c>
      <c r="E159" s="72">
        <v>20.5</v>
      </c>
      <c r="H159" s="7"/>
      <c r="I159" s="7" t="s">
        <v>1142</v>
      </c>
      <c r="J159" s="7" t="s">
        <v>1142</v>
      </c>
      <c r="K159" s="7" t="s">
        <v>1142</v>
      </c>
      <c r="L159" s="7" t="s">
        <v>1142</v>
      </c>
      <c r="M159" s="7" t="s">
        <v>1142</v>
      </c>
      <c r="N159" s="7" t="s">
        <v>1142</v>
      </c>
      <c r="O159" s="7" t="s">
        <v>1159</v>
      </c>
      <c r="P159" s="7">
        <v>0</v>
      </c>
      <c r="Q159" s="7">
        <v>0</v>
      </c>
      <c r="R159" s="21" t="s">
        <v>1142</v>
      </c>
      <c r="S159" s="21" t="s">
        <v>1142</v>
      </c>
      <c r="T159" s="21">
        <v>3075</v>
      </c>
      <c r="U159" s="21" t="str">
        <f>IFERROR(VLOOKUP(salesHistory[[#This Row],[order_no]],orderHistory[],22,FALSE),"")</f>
        <v>SALE</v>
      </c>
    </row>
    <row r="160" spans="1:21">
      <c r="A160" s="7">
        <v>23</v>
      </c>
      <c r="B160" s="199" t="s">
        <v>1017</v>
      </c>
      <c r="C160" s="200" t="s">
        <v>1055</v>
      </c>
      <c r="D160" s="7">
        <v>100</v>
      </c>
      <c r="E160" s="72">
        <v>20.5</v>
      </c>
      <c r="H160" s="7"/>
      <c r="I160" s="7" t="s">
        <v>1142</v>
      </c>
      <c r="J160" s="7" t="s">
        <v>1142</v>
      </c>
      <c r="K160" s="7" t="s">
        <v>1142</v>
      </c>
      <c r="L160" s="7" t="s">
        <v>1142</v>
      </c>
      <c r="M160" s="7" t="s">
        <v>1142</v>
      </c>
      <c r="N160" s="7" t="s">
        <v>1142</v>
      </c>
      <c r="O160" s="7" t="s">
        <v>1159</v>
      </c>
      <c r="P160" s="7">
        <v>0</v>
      </c>
      <c r="Q160" s="7">
        <v>0</v>
      </c>
      <c r="R160" s="21" t="s">
        <v>1142</v>
      </c>
      <c r="S160" s="21" t="s">
        <v>1142</v>
      </c>
      <c r="T160" s="21">
        <v>2050</v>
      </c>
      <c r="U160" s="21" t="str">
        <f>IFERROR(VLOOKUP(salesHistory[[#This Row],[order_no]],orderHistory[],22,FALSE),"")</f>
        <v>SALE</v>
      </c>
    </row>
    <row r="161" spans="1:21">
      <c r="A161" s="7">
        <v>23</v>
      </c>
      <c r="B161" s="199" t="s">
        <v>1018</v>
      </c>
      <c r="C161" s="200" t="s">
        <v>1056</v>
      </c>
      <c r="D161" s="7">
        <v>100</v>
      </c>
      <c r="E161" s="72">
        <v>21</v>
      </c>
      <c r="H161" s="7"/>
      <c r="I161" s="7" t="s">
        <v>1142</v>
      </c>
      <c r="J161" s="7" t="s">
        <v>1142</v>
      </c>
      <c r="K161" s="7" t="s">
        <v>1142</v>
      </c>
      <c r="L161" s="7" t="s">
        <v>1142</v>
      </c>
      <c r="M161" s="7" t="s">
        <v>1142</v>
      </c>
      <c r="N161" s="7" t="s">
        <v>1142</v>
      </c>
      <c r="O161" s="7" t="s">
        <v>1159</v>
      </c>
      <c r="P161" s="7">
        <v>0</v>
      </c>
      <c r="Q161" s="7">
        <v>0</v>
      </c>
      <c r="R161" s="21" t="s">
        <v>1142</v>
      </c>
      <c r="S161" s="21" t="s">
        <v>1142</v>
      </c>
      <c r="T161" s="21">
        <v>2100</v>
      </c>
      <c r="U161" s="21" t="str">
        <f>IFERROR(VLOOKUP(salesHistory[[#This Row],[order_no]],orderHistory[],22,FALSE),"")</f>
        <v>SALE</v>
      </c>
    </row>
    <row r="162" spans="1:21">
      <c r="A162" s="7">
        <v>23</v>
      </c>
      <c r="B162" s="199" t="s">
        <v>1020</v>
      </c>
      <c r="C162" s="200" t="s">
        <v>1058</v>
      </c>
      <c r="D162" s="7">
        <v>100</v>
      </c>
      <c r="E162" s="72">
        <v>21</v>
      </c>
      <c r="H162" s="7"/>
      <c r="I162" s="7" t="s">
        <v>1142</v>
      </c>
      <c r="J162" s="7" t="s">
        <v>1142</v>
      </c>
      <c r="K162" s="7" t="s">
        <v>1142</v>
      </c>
      <c r="L162" s="7" t="s">
        <v>1142</v>
      </c>
      <c r="M162" s="7" t="s">
        <v>1142</v>
      </c>
      <c r="N162" s="7" t="s">
        <v>1142</v>
      </c>
      <c r="O162" s="7" t="s">
        <v>1159</v>
      </c>
      <c r="P162" s="7">
        <v>0</v>
      </c>
      <c r="Q162" s="7">
        <v>0</v>
      </c>
      <c r="R162" s="21" t="s">
        <v>1142</v>
      </c>
      <c r="S162" s="21" t="s">
        <v>1142</v>
      </c>
      <c r="T162" s="21">
        <v>2100</v>
      </c>
      <c r="U162" s="21" t="str">
        <f>IFERROR(VLOOKUP(salesHistory[[#This Row],[order_no]],orderHistory[],22,FALSE),"")</f>
        <v>SALE</v>
      </c>
    </row>
    <row r="163" spans="1:21">
      <c r="A163" s="7">
        <v>23</v>
      </c>
      <c r="B163" s="199" t="s">
        <v>1021</v>
      </c>
      <c r="C163" s="200" t="s">
        <v>1059</v>
      </c>
      <c r="D163" s="7">
        <v>100</v>
      </c>
      <c r="E163" s="72">
        <v>21</v>
      </c>
      <c r="H163" s="7"/>
      <c r="I163" s="7" t="s">
        <v>1142</v>
      </c>
      <c r="J163" s="7" t="s">
        <v>1142</v>
      </c>
      <c r="K163" s="7" t="s">
        <v>1142</v>
      </c>
      <c r="L163" s="7" t="s">
        <v>1142</v>
      </c>
      <c r="M163" s="7" t="s">
        <v>1142</v>
      </c>
      <c r="N163" s="7" t="s">
        <v>1142</v>
      </c>
      <c r="O163" s="7" t="s">
        <v>1159</v>
      </c>
      <c r="P163" s="7">
        <v>0</v>
      </c>
      <c r="Q163" s="7">
        <v>0</v>
      </c>
      <c r="R163" s="21" t="s">
        <v>1142</v>
      </c>
      <c r="S163" s="21" t="s">
        <v>1142</v>
      </c>
      <c r="T163" s="21">
        <v>2100</v>
      </c>
      <c r="U163" s="21" t="str">
        <f>IFERROR(VLOOKUP(salesHistory[[#This Row],[order_no]],orderHistory[],22,FALSE),"")</f>
        <v>SALE</v>
      </c>
    </row>
    <row r="164" spans="1:21">
      <c r="A164" s="7">
        <v>23</v>
      </c>
      <c r="B164" s="199" t="s">
        <v>1022</v>
      </c>
      <c r="C164" s="200" t="s">
        <v>1060</v>
      </c>
      <c r="D164" s="7">
        <v>100</v>
      </c>
      <c r="E164" s="72">
        <v>21</v>
      </c>
      <c r="H164" s="7"/>
      <c r="I164" s="7" t="s">
        <v>1142</v>
      </c>
      <c r="J164" s="7" t="s">
        <v>1142</v>
      </c>
      <c r="K164" s="7" t="s">
        <v>1142</v>
      </c>
      <c r="L164" s="7" t="s">
        <v>1142</v>
      </c>
      <c r="M164" s="7" t="s">
        <v>1142</v>
      </c>
      <c r="N164" s="7" t="s">
        <v>1142</v>
      </c>
      <c r="O164" s="7" t="s">
        <v>1159</v>
      </c>
      <c r="P164" s="7">
        <v>0</v>
      </c>
      <c r="Q164" s="7">
        <v>0</v>
      </c>
      <c r="R164" s="21" t="s">
        <v>1142</v>
      </c>
      <c r="S164" s="21" t="s">
        <v>1142</v>
      </c>
      <c r="T164" s="21">
        <v>2100</v>
      </c>
      <c r="U164" s="21" t="str">
        <f>IFERROR(VLOOKUP(salesHistory[[#This Row],[order_no]],orderHistory[],22,FALSE),"")</f>
        <v>SALE</v>
      </c>
    </row>
    <row r="165" spans="1:21">
      <c r="A165" s="7">
        <v>23</v>
      </c>
      <c r="B165" s="199" t="s">
        <v>1023</v>
      </c>
      <c r="C165" s="200" t="s">
        <v>1061</v>
      </c>
      <c r="D165" s="7">
        <v>100</v>
      </c>
      <c r="E165" s="72">
        <v>21</v>
      </c>
      <c r="H165" s="7"/>
      <c r="I165" s="7" t="s">
        <v>1142</v>
      </c>
      <c r="J165" s="7" t="s">
        <v>1142</v>
      </c>
      <c r="K165" s="7" t="s">
        <v>1142</v>
      </c>
      <c r="L165" s="7" t="s">
        <v>1142</v>
      </c>
      <c r="M165" s="7" t="s">
        <v>1142</v>
      </c>
      <c r="N165" s="7" t="s">
        <v>1142</v>
      </c>
      <c r="O165" s="7" t="s">
        <v>1159</v>
      </c>
      <c r="P165" s="7">
        <v>0</v>
      </c>
      <c r="Q165" s="7">
        <v>0</v>
      </c>
      <c r="R165" s="21" t="s">
        <v>1142</v>
      </c>
      <c r="S165" s="21" t="s">
        <v>1142</v>
      </c>
      <c r="T165" s="21">
        <v>2100</v>
      </c>
      <c r="U165" s="21" t="str">
        <f>IFERROR(VLOOKUP(salesHistory[[#This Row],[order_no]],orderHistory[],22,FALSE),"")</f>
        <v>SALE</v>
      </c>
    </row>
    <row r="166" spans="1:21">
      <c r="A166" s="7">
        <v>23</v>
      </c>
      <c r="B166" s="199" t="s">
        <v>1024</v>
      </c>
      <c r="C166" s="200" t="s">
        <v>1062</v>
      </c>
      <c r="D166" s="7">
        <v>100</v>
      </c>
      <c r="E166" s="72">
        <v>22</v>
      </c>
      <c r="H166" s="7"/>
      <c r="I166" s="7" t="s">
        <v>1142</v>
      </c>
      <c r="J166" s="7" t="s">
        <v>1142</v>
      </c>
      <c r="K166" s="7" t="s">
        <v>1142</v>
      </c>
      <c r="L166" s="7" t="s">
        <v>1142</v>
      </c>
      <c r="M166" s="7" t="s">
        <v>1142</v>
      </c>
      <c r="N166" s="7" t="s">
        <v>1142</v>
      </c>
      <c r="O166" s="7" t="s">
        <v>1159</v>
      </c>
      <c r="P166" s="7">
        <v>0</v>
      </c>
      <c r="Q166" s="7">
        <v>0</v>
      </c>
      <c r="R166" s="21" t="s">
        <v>1142</v>
      </c>
      <c r="S166" s="21" t="s">
        <v>1142</v>
      </c>
      <c r="T166" s="21">
        <v>2200</v>
      </c>
      <c r="U166" s="21" t="str">
        <f>IFERROR(VLOOKUP(salesHistory[[#This Row],[order_no]],orderHistory[],22,FALSE),"")</f>
        <v>SALE</v>
      </c>
    </row>
    <row r="167" spans="1:21">
      <c r="A167" s="7">
        <v>23</v>
      </c>
      <c r="B167" s="199" t="s">
        <v>1025</v>
      </c>
      <c r="C167" s="200" t="s">
        <v>1063</v>
      </c>
      <c r="D167" s="7">
        <v>100</v>
      </c>
      <c r="E167" s="72">
        <v>22</v>
      </c>
      <c r="H167" s="7"/>
      <c r="I167" s="7" t="s">
        <v>1142</v>
      </c>
      <c r="J167" s="7" t="s">
        <v>1142</v>
      </c>
      <c r="K167" s="7" t="s">
        <v>1142</v>
      </c>
      <c r="L167" s="7" t="s">
        <v>1142</v>
      </c>
      <c r="M167" s="7" t="s">
        <v>1142</v>
      </c>
      <c r="N167" s="7" t="s">
        <v>1142</v>
      </c>
      <c r="O167" s="7" t="s">
        <v>1159</v>
      </c>
      <c r="P167" s="7">
        <v>0</v>
      </c>
      <c r="Q167" s="7">
        <v>0</v>
      </c>
      <c r="R167" s="21" t="s">
        <v>1142</v>
      </c>
      <c r="S167" s="21" t="s">
        <v>1142</v>
      </c>
      <c r="T167" s="21">
        <v>2200</v>
      </c>
      <c r="U167" s="21" t="str">
        <f>IFERROR(VLOOKUP(salesHistory[[#This Row],[order_no]],orderHistory[],22,FALSE),"")</f>
        <v>SALE</v>
      </c>
    </row>
    <row r="168" spans="1:21">
      <c r="A168" s="7">
        <v>23</v>
      </c>
      <c r="B168" s="199" t="s">
        <v>1026</v>
      </c>
      <c r="C168" s="200" t="s">
        <v>1064</v>
      </c>
      <c r="D168" s="7">
        <v>100</v>
      </c>
      <c r="E168" s="72">
        <v>22</v>
      </c>
      <c r="H168" s="7"/>
      <c r="I168" s="7" t="s">
        <v>1142</v>
      </c>
      <c r="J168" s="7" t="s">
        <v>1142</v>
      </c>
      <c r="K168" s="7" t="s">
        <v>1142</v>
      </c>
      <c r="L168" s="7" t="s">
        <v>1142</v>
      </c>
      <c r="M168" s="7" t="s">
        <v>1142</v>
      </c>
      <c r="N168" s="7" t="s">
        <v>1142</v>
      </c>
      <c r="O168" s="7" t="s">
        <v>1159</v>
      </c>
      <c r="P168" s="7">
        <v>0</v>
      </c>
      <c r="Q168" s="7">
        <v>0</v>
      </c>
      <c r="R168" s="21" t="s">
        <v>1142</v>
      </c>
      <c r="S168" s="21" t="s">
        <v>1142</v>
      </c>
      <c r="T168" s="21">
        <v>2200</v>
      </c>
      <c r="U168" s="21" t="str">
        <f>IFERROR(VLOOKUP(salesHistory[[#This Row],[order_no]],orderHistory[],22,FALSE),"")</f>
        <v>SALE</v>
      </c>
    </row>
    <row r="169" spans="1:21">
      <c r="A169" s="7">
        <v>23</v>
      </c>
      <c r="B169" s="199" t="s">
        <v>1033</v>
      </c>
      <c r="C169" s="200" t="s">
        <v>1071</v>
      </c>
      <c r="D169" s="7">
        <v>100</v>
      </c>
      <c r="E169" s="72">
        <v>22</v>
      </c>
      <c r="H169" s="7"/>
      <c r="I169" s="7" t="s">
        <v>1142</v>
      </c>
      <c r="J169" s="7" t="s">
        <v>1142</v>
      </c>
      <c r="K169" s="7" t="s">
        <v>1142</v>
      </c>
      <c r="L169" s="7" t="s">
        <v>1142</v>
      </c>
      <c r="M169" s="7" t="s">
        <v>1142</v>
      </c>
      <c r="N169" s="7" t="s">
        <v>1142</v>
      </c>
      <c r="O169" s="7" t="s">
        <v>1159</v>
      </c>
      <c r="P169" s="7">
        <v>0</v>
      </c>
      <c r="Q169" s="7">
        <v>0</v>
      </c>
      <c r="R169" s="21" t="s">
        <v>1142</v>
      </c>
      <c r="S169" s="21" t="s">
        <v>1142</v>
      </c>
      <c r="T169" s="21">
        <v>2200</v>
      </c>
      <c r="U169" s="21" t="str">
        <f>IFERROR(VLOOKUP(salesHistory[[#This Row],[order_no]],orderHistory[],22,FALSE),"")</f>
        <v>SALE</v>
      </c>
    </row>
    <row r="170" spans="1:21">
      <c r="A170" s="7">
        <v>23</v>
      </c>
      <c r="B170" s="199" t="s">
        <v>1034</v>
      </c>
      <c r="C170" s="200" t="s">
        <v>1072</v>
      </c>
      <c r="D170" s="7">
        <v>100</v>
      </c>
      <c r="E170" s="72">
        <v>22</v>
      </c>
      <c r="H170" s="7"/>
      <c r="I170" s="7" t="s">
        <v>1142</v>
      </c>
      <c r="J170" s="7" t="s">
        <v>1142</v>
      </c>
      <c r="K170" s="7" t="s">
        <v>1142</v>
      </c>
      <c r="L170" s="7" t="s">
        <v>1142</v>
      </c>
      <c r="M170" s="7" t="s">
        <v>1142</v>
      </c>
      <c r="N170" s="7" t="s">
        <v>1142</v>
      </c>
      <c r="O170" s="7" t="s">
        <v>1159</v>
      </c>
      <c r="P170" s="7">
        <v>0</v>
      </c>
      <c r="Q170" s="7">
        <v>0</v>
      </c>
      <c r="R170" s="21" t="s">
        <v>1142</v>
      </c>
      <c r="S170" s="21" t="s">
        <v>1142</v>
      </c>
      <c r="T170" s="21">
        <v>2200</v>
      </c>
      <c r="U170" s="21" t="str">
        <f>IFERROR(VLOOKUP(salesHistory[[#This Row],[order_no]],orderHistory[],22,FALSE),"")</f>
        <v>SALE</v>
      </c>
    </row>
    <row r="171" spans="1:21">
      <c r="A171" s="7">
        <v>23</v>
      </c>
      <c r="B171" s="199" t="s">
        <v>1036</v>
      </c>
      <c r="C171" s="200" t="s">
        <v>1074</v>
      </c>
      <c r="D171" s="7">
        <v>100</v>
      </c>
      <c r="E171" s="72">
        <v>24</v>
      </c>
      <c r="H171" s="7"/>
      <c r="I171" s="7" t="s">
        <v>1142</v>
      </c>
      <c r="J171" s="7" t="s">
        <v>1142</v>
      </c>
      <c r="K171" s="7" t="s">
        <v>1142</v>
      </c>
      <c r="L171" s="7" t="s">
        <v>1142</v>
      </c>
      <c r="M171" s="7" t="s">
        <v>1142</v>
      </c>
      <c r="N171" s="7" t="s">
        <v>1142</v>
      </c>
      <c r="O171" s="7" t="s">
        <v>1159</v>
      </c>
      <c r="P171" s="7">
        <v>0</v>
      </c>
      <c r="Q171" s="7">
        <v>0</v>
      </c>
      <c r="R171" s="21" t="s">
        <v>1142</v>
      </c>
      <c r="S171" s="21" t="s">
        <v>1142</v>
      </c>
      <c r="T171" s="21">
        <v>2400</v>
      </c>
      <c r="U171" s="21" t="str">
        <f>IFERROR(VLOOKUP(salesHistory[[#This Row],[order_no]],orderHistory[],22,FALSE),"")</f>
        <v>SALE</v>
      </c>
    </row>
    <row r="172" spans="1:21">
      <c r="A172" s="7">
        <v>23</v>
      </c>
      <c r="B172" s="199" t="s">
        <v>1038</v>
      </c>
      <c r="C172" s="200" t="s">
        <v>1076</v>
      </c>
      <c r="D172" s="7">
        <v>100</v>
      </c>
      <c r="E172" s="72">
        <v>24</v>
      </c>
      <c r="H172" s="7"/>
      <c r="I172" s="7" t="s">
        <v>1142</v>
      </c>
      <c r="J172" s="7" t="s">
        <v>1142</v>
      </c>
      <c r="K172" s="7" t="s">
        <v>1142</v>
      </c>
      <c r="L172" s="7" t="s">
        <v>1142</v>
      </c>
      <c r="M172" s="7" t="s">
        <v>1142</v>
      </c>
      <c r="N172" s="7" t="s">
        <v>1142</v>
      </c>
      <c r="O172" s="7" t="s">
        <v>1159</v>
      </c>
      <c r="P172" s="7">
        <v>0</v>
      </c>
      <c r="Q172" s="7">
        <v>0</v>
      </c>
      <c r="R172" s="21" t="s">
        <v>1142</v>
      </c>
      <c r="S172" s="21" t="s">
        <v>1142</v>
      </c>
      <c r="T172" s="21">
        <v>2400</v>
      </c>
      <c r="U172" s="21" t="str">
        <f>IFERROR(VLOOKUP(salesHistory[[#This Row],[order_no]],orderHistory[],22,FALSE),"")</f>
        <v>SALE</v>
      </c>
    </row>
    <row r="173" spans="1:21">
      <c r="A173" s="7">
        <v>23</v>
      </c>
      <c r="B173" s="199" t="s">
        <v>1039</v>
      </c>
      <c r="C173" s="200" t="s">
        <v>1077</v>
      </c>
      <c r="D173" s="7">
        <v>100</v>
      </c>
      <c r="E173" s="72">
        <v>23</v>
      </c>
      <c r="H173" s="7"/>
      <c r="I173" s="7" t="s">
        <v>1142</v>
      </c>
      <c r="J173" s="7" t="s">
        <v>1142</v>
      </c>
      <c r="K173" s="7" t="s">
        <v>1142</v>
      </c>
      <c r="L173" s="7" t="s">
        <v>1142</v>
      </c>
      <c r="M173" s="7" t="s">
        <v>1142</v>
      </c>
      <c r="N173" s="7" t="s">
        <v>1142</v>
      </c>
      <c r="O173" s="7" t="s">
        <v>1159</v>
      </c>
      <c r="P173" s="7">
        <v>0</v>
      </c>
      <c r="Q173" s="7">
        <v>0</v>
      </c>
      <c r="R173" s="21" t="s">
        <v>1142</v>
      </c>
      <c r="S173" s="21" t="s">
        <v>1142</v>
      </c>
      <c r="T173" s="21">
        <v>2300</v>
      </c>
      <c r="U173" s="21" t="str">
        <f>IFERROR(VLOOKUP(salesHistory[[#This Row],[order_no]],orderHistory[],22,FALSE),"")</f>
        <v>SALE</v>
      </c>
    </row>
    <row r="174" spans="1:21">
      <c r="A174" s="7">
        <v>23</v>
      </c>
      <c r="B174" s="199" t="s">
        <v>1040</v>
      </c>
      <c r="C174" s="200" t="s">
        <v>1078</v>
      </c>
      <c r="D174" s="7">
        <v>100</v>
      </c>
      <c r="E174" s="72">
        <v>23</v>
      </c>
      <c r="H174" s="7"/>
      <c r="I174" s="7" t="s">
        <v>1142</v>
      </c>
      <c r="J174" s="7" t="s">
        <v>1142</v>
      </c>
      <c r="K174" s="7" t="s">
        <v>1142</v>
      </c>
      <c r="L174" s="7" t="s">
        <v>1142</v>
      </c>
      <c r="M174" s="7" t="s">
        <v>1142</v>
      </c>
      <c r="N174" s="7" t="s">
        <v>1142</v>
      </c>
      <c r="O174" s="7" t="s">
        <v>1159</v>
      </c>
      <c r="P174" s="7">
        <v>0</v>
      </c>
      <c r="Q174" s="7">
        <v>0</v>
      </c>
      <c r="R174" s="21" t="s">
        <v>1142</v>
      </c>
      <c r="S174" s="21" t="s">
        <v>1142</v>
      </c>
      <c r="T174" s="21">
        <v>2300</v>
      </c>
      <c r="U174" s="21" t="str">
        <f>IFERROR(VLOOKUP(salesHistory[[#This Row],[order_no]],orderHistory[],22,FALSE),"")</f>
        <v>SALE</v>
      </c>
    </row>
    <row r="175" spans="1:21">
      <c r="A175" s="7">
        <v>23</v>
      </c>
      <c r="B175" s="199" t="s">
        <v>1041</v>
      </c>
      <c r="C175" s="200" t="s">
        <v>1079</v>
      </c>
      <c r="D175" s="7">
        <v>100</v>
      </c>
      <c r="E175" s="72">
        <v>23</v>
      </c>
      <c r="H175" s="7"/>
      <c r="I175" s="7" t="s">
        <v>1142</v>
      </c>
      <c r="J175" s="7" t="s">
        <v>1142</v>
      </c>
      <c r="K175" s="7" t="s">
        <v>1142</v>
      </c>
      <c r="L175" s="7" t="s">
        <v>1142</v>
      </c>
      <c r="M175" s="7" t="s">
        <v>1142</v>
      </c>
      <c r="N175" s="7" t="s">
        <v>1142</v>
      </c>
      <c r="O175" s="7" t="s">
        <v>1159</v>
      </c>
      <c r="P175" s="7">
        <v>0</v>
      </c>
      <c r="Q175" s="7">
        <v>0</v>
      </c>
      <c r="R175" s="21" t="s">
        <v>1142</v>
      </c>
      <c r="S175" s="21" t="s">
        <v>1142</v>
      </c>
      <c r="T175" s="21">
        <v>2300</v>
      </c>
      <c r="U175" s="21" t="str">
        <f>IFERROR(VLOOKUP(salesHistory[[#This Row],[order_no]],orderHistory[],22,FALSE),"")</f>
        <v>SALE</v>
      </c>
    </row>
    <row r="176" spans="1:21">
      <c r="A176" s="7">
        <v>23</v>
      </c>
      <c r="B176" s="199" t="s">
        <v>1042</v>
      </c>
      <c r="C176" s="200" t="s">
        <v>1080</v>
      </c>
      <c r="D176" s="7">
        <v>100</v>
      </c>
      <c r="E176" s="72">
        <v>22</v>
      </c>
      <c r="H176" s="7"/>
      <c r="I176" s="7" t="s">
        <v>1142</v>
      </c>
      <c r="J176" s="7" t="s">
        <v>1142</v>
      </c>
      <c r="K176" s="7" t="s">
        <v>1142</v>
      </c>
      <c r="L176" s="7" t="s">
        <v>1142</v>
      </c>
      <c r="M176" s="7" t="s">
        <v>1142</v>
      </c>
      <c r="N176" s="7" t="s">
        <v>1142</v>
      </c>
      <c r="O176" s="7" t="s">
        <v>1159</v>
      </c>
      <c r="P176" s="7">
        <v>0</v>
      </c>
      <c r="Q176" s="7">
        <v>0</v>
      </c>
      <c r="R176" s="21" t="s">
        <v>1142</v>
      </c>
      <c r="S176" s="21" t="s">
        <v>1142</v>
      </c>
      <c r="T176" s="21">
        <v>2200</v>
      </c>
      <c r="U176" s="21" t="str">
        <f>IFERROR(VLOOKUP(salesHistory[[#This Row],[order_no]],orderHistory[],22,FALSE),"")</f>
        <v>SALE</v>
      </c>
    </row>
    <row r="177" spans="1:21">
      <c r="A177" s="7">
        <v>23</v>
      </c>
      <c r="B177" s="199" t="s">
        <v>1045</v>
      </c>
      <c r="C177" s="200" t="s">
        <v>1083</v>
      </c>
      <c r="D177" s="7">
        <v>100</v>
      </c>
      <c r="E177" s="72">
        <v>21</v>
      </c>
      <c r="H177" s="7"/>
      <c r="I177" s="7" t="s">
        <v>1142</v>
      </c>
      <c r="J177" s="7" t="s">
        <v>1142</v>
      </c>
      <c r="K177" s="7" t="s">
        <v>1142</v>
      </c>
      <c r="L177" s="7" t="s">
        <v>1142</v>
      </c>
      <c r="M177" s="7" t="s">
        <v>1142</v>
      </c>
      <c r="N177" s="7" t="s">
        <v>1142</v>
      </c>
      <c r="O177" s="7" t="s">
        <v>1159</v>
      </c>
      <c r="P177" s="7">
        <v>0</v>
      </c>
      <c r="Q177" s="7">
        <v>0</v>
      </c>
      <c r="R177" s="21" t="s">
        <v>1142</v>
      </c>
      <c r="S177" s="21" t="s">
        <v>1142</v>
      </c>
      <c r="T177" s="21">
        <v>2100</v>
      </c>
      <c r="U177" s="21" t="str">
        <f>IFERROR(VLOOKUP(salesHistory[[#This Row],[order_no]],orderHistory[],22,FALSE),"")</f>
        <v>SALE</v>
      </c>
    </row>
    <row r="178" spans="1:21">
      <c r="A178" s="7">
        <v>24</v>
      </c>
      <c r="B178" s="199" t="s">
        <v>108</v>
      </c>
      <c r="C178" s="200" t="s">
        <v>109</v>
      </c>
      <c r="D178" s="7">
        <v>3000</v>
      </c>
      <c r="E178" s="72">
        <v>22.5</v>
      </c>
      <c r="H178" s="7"/>
      <c r="I178" s="7">
        <v>150</v>
      </c>
      <c r="J178" s="7">
        <v>0</v>
      </c>
      <c r="K178" s="7">
        <v>0</v>
      </c>
      <c r="L178" s="7">
        <v>2190</v>
      </c>
      <c r="M178" s="7">
        <v>3075</v>
      </c>
      <c r="N178" s="7">
        <v>11.04</v>
      </c>
      <c r="O178" s="7" t="s">
        <v>37</v>
      </c>
      <c r="P178" s="7">
        <v>100</v>
      </c>
      <c r="Q178" s="7">
        <v>0</v>
      </c>
      <c r="R178" s="21">
        <v>15</v>
      </c>
      <c r="S178" s="21">
        <v>45000</v>
      </c>
      <c r="T178" s="21">
        <v>67500</v>
      </c>
      <c r="U178" s="21" t="str">
        <f>IFERROR(VLOOKUP(salesHistory[[#This Row],[order_no]],orderHistory[],22,FALSE),"")</f>
        <v>SALE</v>
      </c>
    </row>
    <row r="179" spans="1:21">
      <c r="A179" s="7">
        <v>25</v>
      </c>
      <c r="B179" s="199" t="s">
        <v>161</v>
      </c>
      <c r="C179" s="200" t="s">
        <v>162</v>
      </c>
      <c r="D179" s="7">
        <v>492</v>
      </c>
      <c r="E179" s="72">
        <v>12.5</v>
      </c>
      <c r="H179" s="7">
        <v>70</v>
      </c>
      <c r="I179" s="7">
        <v>21</v>
      </c>
      <c r="J179" s="7">
        <v>0</v>
      </c>
      <c r="K179" s="7">
        <v>3</v>
      </c>
      <c r="L179" s="7">
        <v>221.99</v>
      </c>
      <c r="M179" s="7">
        <v>231.82500000000002</v>
      </c>
      <c r="N179" s="7">
        <v>0.35459875000000002</v>
      </c>
      <c r="O179" s="7" t="s">
        <v>128</v>
      </c>
      <c r="P179" s="7">
        <v>100</v>
      </c>
      <c r="Q179" s="7" t="s">
        <v>75</v>
      </c>
      <c r="R179" s="21">
        <v>11.68</v>
      </c>
      <c r="S179" s="21">
        <v>6564.16</v>
      </c>
      <c r="T179" s="21">
        <v>6150</v>
      </c>
      <c r="U179" s="21" t="str">
        <f>IFERROR(VLOOKUP(salesHistory[[#This Row],[order_no]],orderHistory[],22,FALSE),"")</f>
        <v>SALE</v>
      </c>
    </row>
    <row r="180" spans="1:21">
      <c r="A180" s="7">
        <v>25</v>
      </c>
      <c r="B180" s="199" t="s">
        <v>163</v>
      </c>
      <c r="C180" s="200" t="s">
        <v>164</v>
      </c>
      <c r="D180" s="7">
        <v>732</v>
      </c>
      <c r="E180" s="72">
        <v>12.5</v>
      </c>
      <c r="H180" s="7">
        <v>105</v>
      </c>
      <c r="I180" s="7">
        <v>31</v>
      </c>
      <c r="J180" s="7">
        <v>0</v>
      </c>
      <c r="K180" s="7">
        <v>5</v>
      </c>
      <c r="L180" s="7">
        <v>330.61500000000001</v>
      </c>
      <c r="M180" s="7">
        <v>345.26249999999999</v>
      </c>
      <c r="N180" s="7">
        <v>0.52757374999999995</v>
      </c>
      <c r="O180" s="7" t="s">
        <v>128</v>
      </c>
      <c r="P180" s="7">
        <v>100</v>
      </c>
      <c r="Q180" s="7" t="s">
        <v>75</v>
      </c>
      <c r="R180" s="21">
        <v>11.68</v>
      </c>
      <c r="S180" s="21">
        <v>9776.16</v>
      </c>
      <c r="T180" s="21">
        <v>9150</v>
      </c>
      <c r="U180" s="21" t="str">
        <f>IFERROR(VLOOKUP(salesHistory[[#This Row],[order_no]],orderHistory[],22,FALSE),"")</f>
        <v>SALE</v>
      </c>
    </row>
    <row r="181" spans="1:21">
      <c r="A181" s="7">
        <v>26</v>
      </c>
      <c r="B181" s="199" t="s">
        <v>180</v>
      </c>
      <c r="C181" s="200" t="s">
        <v>181</v>
      </c>
      <c r="D181" s="7">
        <v>10368</v>
      </c>
      <c r="E181" s="72">
        <v>1.06</v>
      </c>
      <c r="H181" s="7"/>
      <c r="I181" s="7">
        <v>216</v>
      </c>
      <c r="J181" s="7">
        <v>0</v>
      </c>
      <c r="K181" s="7">
        <v>0</v>
      </c>
      <c r="L181" s="7">
        <v>1615.68</v>
      </c>
      <c r="M181" s="7">
        <v>1663.2</v>
      </c>
      <c r="N181" s="7">
        <v>7.354152</v>
      </c>
      <c r="O181" s="7" t="s">
        <v>170</v>
      </c>
      <c r="P181" s="7">
        <v>175</v>
      </c>
      <c r="Q181" s="7" t="s">
        <v>171</v>
      </c>
      <c r="R181" s="21">
        <v>1.1599999999999999</v>
      </c>
      <c r="S181" s="21">
        <v>12026.88</v>
      </c>
      <c r="T181" s="21">
        <v>10990.08</v>
      </c>
      <c r="U181" s="21" t="str">
        <f>IFERROR(VLOOKUP(salesHistory[[#This Row],[order_no]],orderHistory[],22,FALSE),"")</f>
        <v>SALE</v>
      </c>
    </row>
    <row r="182" spans="1:21">
      <c r="A182" s="7">
        <v>26</v>
      </c>
      <c r="B182" s="199" t="s">
        <v>182</v>
      </c>
      <c r="C182" s="200" t="s">
        <v>183</v>
      </c>
      <c r="D182" s="7">
        <v>10368</v>
      </c>
      <c r="E182" s="72">
        <v>1.06</v>
      </c>
      <c r="H182" s="7"/>
      <c r="I182" s="7">
        <v>216</v>
      </c>
      <c r="J182" s="7">
        <v>0</v>
      </c>
      <c r="K182" s="7">
        <v>0</v>
      </c>
      <c r="L182" s="7">
        <v>1615.68</v>
      </c>
      <c r="M182" s="7">
        <v>1663.2</v>
      </c>
      <c r="N182" s="7">
        <v>7.354152</v>
      </c>
      <c r="O182" s="7" t="s">
        <v>170</v>
      </c>
      <c r="P182" s="7">
        <v>175</v>
      </c>
      <c r="Q182" s="7" t="s">
        <v>171</v>
      </c>
      <c r="R182" s="21">
        <v>1.1599999999999999</v>
      </c>
      <c r="S182" s="21">
        <v>12026.88</v>
      </c>
      <c r="T182" s="21">
        <v>10990.08</v>
      </c>
      <c r="U182" s="21" t="str">
        <f>IFERROR(VLOOKUP(salesHistory[[#This Row],[order_no]],orderHistory[],22,FALSE),"")</f>
        <v>SALE</v>
      </c>
    </row>
    <row r="183" spans="1:21">
      <c r="A183" s="7">
        <v>26</v>
      </c>
      <c r="B183" s="199" t="s">
        <v>184</v>
      </c>
      <c r="C183" s="200" t="s">
        <v>185</v>
      </c>
      <c r="D183" s="7">
        <v>10368</v>
      </c>
      <c r="E183" s="72">
        <v>1.06</v>
      </c>
      <c r="H183" s="7"/>
      <c r="I183" s="7">
        <v>216</v>
      </c>
      <c r="J183" s="7">
        <v>0</v>
      </c>
      <c r="K183" s="7">
        <v>0</v>
      </c>
      <c r="L183" s="7">
        <v>1615.68</v>
      </c>
      <c r="M183" s="7">
        <v>1663.2</v>
      </c>
      <c r="N183" s="7">
        <v>7.354152</v>
      </c>
      <c r="O183" s="7" t="s">
        <v>170</v>
      </c>
      <c r="P183" s="7">
        <v>175</v>
      </c>
      <c r="Q183" s="7" t="s">
        <v>171</v>
      </c>
      <c r="R183" s="21">
        <v>1.1599999999999999</v>
      </c>
      <c r="S183" s="21">
        <v>12026.88</v>
      </c>
      <c r="T183" s="21">
        <v>10990.08</v>
      </c>
      <c r="U183" s="21" t="str">
        <f>IFERROR(VLOOKUP(salesHistory[[#This Row],[order_no]],orderHistory[],22,FALSE),"")</f>
        <v>SALE</v>
      </c>
    </row>
    <row r="184" spans="1:21">
      <c r="A184" s="7">
        <v>26</v>
      </c>
      <c r="B184" s="199" t="s">
        <v>186</v>
      </c>
      <c r="C184" s="200" t="s">
        <v>187</v>
      </c>
      <c r="D184" s="7">
        <v>10368</v>
      </c>
      <c r="E184" s="72">
        <v>1.06</v>
      </c>
      <c r="H184" s="7"/>
      <c r="I184" s="7">
        <v>216</v>
      </c>
      <c r="J184" s="7">
        <v>0</v>
      </c>
      <c r="K184" s="7">
        <v>0</v>
      </c>
      <c r="L184" s="7">
        <v>1615.68</v>
      </c>
      <c r="M184" s="7">
        <v>1663.2</v>
      </c>
      <c r="N184" s="7">
        <v>7.354152</v>
      </c>
      <c r="O184" s="7" t="s">
        <v>170</v>
      </c>
      <c r="P184" s="7">
        <v>175</v>
      </c>
      <c r="Q184" s="7" t="s">
        <v>171</v>
      </c>
      <c r="R184" s="21">
        <v>1.1599999999999999</v>
      </c>
      <c r="S184" s="21">
        <v>12026.88</v>
      </c>
      <c r="T184" s="21">
        <v>10990.08</v>
      </c>
      <c r="U184" s="21" t="str">
        <f>IFERROR(VLOOKUP(salesHistory[[#This Row],[order_no]],orderHistory[],22,FALSE),"")</f>
        <v>SALE</v>
      </c>
    </row>
    <row r="185" spans="1:21">
      <c r="A185" s="7">
        <v>26</v>
      </c>
      <c r="B185" s="199" t="s">
        <v>176</v>
      </c>
      <c r="C185" s="200" t="s">
        <v>177</v>
      </c>
      <c r="D185" s="7">
        <v>3840</v>
      </c>
      <c r="E185" s="72">
        <v>1.03</v>
      </c>
      <c r="H185" s="7"/>
      <c r="I185" s="7">
        <v>80</v>
      </c>
      <c r="J185" s="7">
        <v>0</v>
      </c>
      <c r="K185" s="7">
        <v>0</v>
      </c>
      <c r="L185" s="7">
        <v>503.04</v>
      </c>
      <c r="M185" s="7">
        <v>562.88</v>
      </c>
      <c r="N185" s="7">
        <v>2.0992000000000002</v>
      </c>
      <c r="O185" s="7" t="s">
        <v>170</v>
      </c>
      <c r="P185" s="7">
        <v>150</v>
      </c>
      <c r="Q185" s="7" t="s">
        <v>171</v>
      </c>
      <c r="R185" s="21">
        <v>0.81599999999999995</v>
      </c>
      <c r="S185" s="21">
        <v>3133.4399999999996</v>
      </c>
      <c r="T185" s="21">
        <v>3955.2000000000003</v>
      </c>
      <c r="U185" s="21" t="str">
        <f>IFERROR(VLOOKUP(salesHistory[[#This Row],[order_no]],orderHistory[],22,FALSE),"")</f>
        <v>SALE</v>
      </c>
    </row>
    <row r="186" spans="1:21">
      <c r="A186" s="7">
        <v>27</v>
      </c>
      <c r="B186" s="199" t="s">
        <v>201</v>
      </c>
      <c r="C186" s="200" t="s">
        <v>203</v>
      </c>
      <c r="D186" s="7">
        <v>22092</v>
      </c>
      <c r="E186" s="72">
        <v>1</v>
      </c>
      <c r="H186" s="7"/>
      <c r="I186" s="7">
        <v>461</v>
      </c>
      <c r="J186" s="7">
        <v>0</v>
      </c>
      <c r="K186" s="7">
        <v>0</v>
      </c>
      <c r="L186" s="7">
        <v>0</v>
      </c>
      <c r="M186" s="7">
        <v>0</v>
      </c>
      <c r="N186" s="7">
        <v>0</v>
      </c>
      <c r="O186" s="7" t="s">
        <v>202</v>
      </c>
      <c r="P186" s="7">
        <v>0</v>
      </c>
      <c r="Q186" s="7">
        <v>0</v>
      </c>
      <c r="R186" s="21">
        <v>0.93</v>
      </c>
      <c r="S186" s="21">
        <v>20545.560000000001</v>
      </c>
      <c r="T186" s="21">
        <v>22092</v>
      </c>
      <c r="U186" s="21" t="str">
        <f>IFERROR(VLOOKUP(salesHistory[[#This Row],[order_no]],orderHistory[],22,FALSE),"")</f>
        <v>SALE</v>
      </c>
    </row>
    <row r="187" spans="1:21">
      <c r="A187" s="7">
        <v>27</v>
      </c>
      <c r="B187" s="199" t="s">
        <v>204</v>
      </c>
      <c r="C187" s="200" t="s">
        <v>205</v>
      </c>
      <c r="D187" s="7">
        <v>24828</v>
      </c>
      <c r="E187" s="72">
        <v>1</v>
      </c>
      <c r="H187" s="7"/>
      <c r="I187" s="7">
        <v>518</v>
      </c>
      <c r="J187" s="7">
        <v>0</v>
      </c>
      <c r="K187" s="7">
        <v>0</v>
      </c>
      <c r="L187" s="7">
        <v>0</v>
      </c>
      <c r="M187" s="7">
        <v>0</v>
      </c>
      <c r="N187" s="7">
        <v>0</v>
      </c>
      <c r="O187" s="7" t="s">
        <v>202</v>
      </c>
      <c r="P187" s="7">
        <v>0</v>
      </c>
      <c r="Q187" s="7">
        <v>0</v>
      </c>
      <c r="R187" s="21">
        <v>0.93</v>
      </c>
      <c r="S187" s="21">
        <v>23090.04</v>
      </c>
      <c r="T187" s="21">
        <v>24828</v>
      </c>
      <c r="U187" s="21" t="str">
        <f>IFERROR(VLOOKUP(salesHistory[[#This Row],[order_no]],orderHistory[],22,FALSE),"")</f>
        <v>SALE</v>
      </c>
    </row>
    <row r="188" spans="1:21">
      <c r="A188" s="7">
        <v>27</v>
      </c>
      <c r="B188" s="199" t="s">
        <v>206</v>
      </c>
      <c r="C188" s="200" t="s">
        <v>207</v>
      </c>
      <c r="D188" s="7">
        <v>21120</v>
      </c>
      <c r="E188" s="72">
        <v>1</v>
      </c>
      <c r="H188" s="7"/>
      <c r="I188" s="7">
        <v>440</v>
      </c>
      <c r="J188" s="7">
        <v>0</v>
      </c>
      <c r="K188" s="7">
        <v>0</v>
      </c>
      <c r="L188" s="7">
        <v>0</v>
      </c>
      <c r="M188" s="7">
        <v>0</v>
      </c>
      <c r="N188" s="7">
        <v>0</v>
      </c>
      <c r="O188" s="7" t="s">
        <v>202</v>
      </c>
      <c r="P188" s="7">
        <v>0</v>
      </c>
      <c r="Q188" s="7">
        <v>0</v>
      </c>
      <c r="R188" s="21">
        <v>0.93</v>
      </c>
      <c r="S188" s="21">
        <v>19641.600000000002</v>
      </c>
      <c r="T188" s="21">
        <v>21120</v>
      </c>
      <c r="U188" s="21" t="str">
        <f>IFERROR(VLOOKUP(salesHistory[[#This Row],[order_no]],orderHistory[],22,FALSE),"")</f>
        <v>SALE</v>
      </c>
    </row>
    <row r="189" spans="1:21">
      <c r="A189" s="7">
        <v>27</v>
      </c>
      <c r="B189" s="199" t="s">
        <v>208</v>
      </c>
      <c r="C189" s="200" t="s">
        <v>209</v>
      </c>
      <c r="D189" s="7">
        <v>23352</v>
      </c>
      <c r="E189" s="72">
        <v>1</v>
      </c>
      <c r="H189" s="7"/>
      <c r="I189" s="7">
        <v>487</v>
      </c>
      <c r="J189" s="7">
        <v>0</v>
      </c>
      <c r="K189" s="7">
        <v>0</v>
      </c>
      <c r="L189" s="7">
        <v>0</v>
      </c>
      <c r="M189" s="7">
        <v>0</v>
      </c>
      <c r="N189" s="7">
        <v>0</v>
      </c>
      <c r="O189" s="7" t="s">
        <v>202</v>
      </c>
      <c r="P189" s="7">
        <v>0</v>
      </c>
      <c r="Q189" s="7">
        <v>0</v>
      </c>
      <c r="R189" s="21">
        <v>0.93</v>
      </c>
      <c r="S189" s="21">
        <v>21717.360000000001</v>
      </c>
      <c r="T189" s="21">
        <v>23352</v>
      </c>
      <c r="U189" s="21" t="str">
        <f>IFERROR(VLOOKUP(salesHistory[[#This Row],[order_no]],orderHistory[],22,FALSE),"")</f>
        <v>SALE</v>
      </c>
    </row>
    <row r="190" spans="1:21">
      <c r="A190" s="7">
        <v>28</v>
      </c>
      <c r="B190" s="199" t="s">
        <v>125</v>
      </c>
      <c r="C190" s="200" t="s">
        <v>126</v>
      </c>
      <c r="D190" s="7">
        <v>228</v>
      </c>
      <c r="E190" s="72">
        <v>5</v>
      </c>
      <c r="H190" s="7"/>
      <c r="I190" s="7">
        <v>10</v>
      </c>
      <c r="J190" s="7">
        <v>0</v>
      </c>
      <c r="K190" s="7">
        <v>0</v>
      </c>
      <c r="L190" s="7">
        <v>65.265000000000001</v>
      </c>
      <c r="M190" s="7">
        <v>71.819999999999993</v>
      </c>
      <c r="N190" s="7">
        <v>0.2389725</v>
      </c>
      <c r="O190" s="7" t="s">
        <v>74</v>
      </c>
      <c r="P190" s="7">
        <v>100</v>
      </c>
      <c r="Q190" s="7" t="s">
        <v>75</v>
      </c>
      <c r="R190" s="21" t="s">
        <v>1142</v>
      </c>
      <c r="S190" s="21" t="s">
        <v>1142</v>
      </c>
      <c r="T190" s="21">
        <v>1140</v>
      </c>
      <c r="U190" s="21" t="str">
        <f>IFERROR(VLOOKUP(salesHistory[[#This Row],[order_no]],orderHistory[],22,FALSE),"")</f>
        <v>SUPPLY</v>
      </c>
    </row>
    <row r="191" spans="1:21">
      <c r="A191" s="7">
        <v>28</v>
      </c>
      <c r="B191" s="199" t="s">
        <v>127</v>
      </c>
      <c r="C191" s="200" t="s">
        <v>129</v>
      </c>
      <c r="D191" s="7">
        <v>2934</v>
      </c>
      <c r="E191" s="72">
        <v>11.68</v>
      </c>
      <c r="H191" s="7">
        <v>2008</v>
      </c>
      <c r="I191" s="7">
        <v>123</v>
      </c>
      <c r="J191" s="7">
        <v>0</v>
      </c>
      <c r="K191" s="7">
        <v>84</v>
      </c>
      <c r="L191" s="7">
        <v>1952.09</v>
      </c>
      <c r="M191" s="7">
        <v>2038.575</v>
      </c>
      <c r="N191" s="7">
        <v>2.1146193750000002</v>
      </c>
      <c r="O191" s="7" t="s">
        <v>128</v>
      </c>
      <c r="P191" s="7">
        <v>100</v>
      </c>
      <c r="Q191" s="7" t="s">
        <v>75</v>
      </c>
      <c r="R191" s="21" t="s">
        <v>1142</v>
      </c>
      <c r="S191" s="21" t="s">
        <v>1142</v>
      </c>
      <c r="T191" s="21">
        <v>34269.120000000003</v>
      </c>
      <c r="U191" s="21" t="str">
        <f>IFERROR(VLOOKUP(salesHistory[[#This Row],[order_no]],orderHistory[],22,FALSE),"")</f>
        <v>SUPPLY</v>
      </c>
    </row>
    <row r="192" spans="1:21">
      <c r="A192" s="7">
        <v>28</v>
      </c>
      <c r="B192" s="199" t="s">
        <v>132</v>
      </c>
      <c r="C192" s="200" t="s">
        <v>843</v>
      </c>
      <c r="D192" s="7">
        <v>2140</v>
      </c>
      <c r="E192" s="72">
        <v>11.68</v>
      </c>
      <c r="H192" s="7">
        <v>832</v>
      </c>
      <c r="I192" s="7">
        <v>90</v>
      </c>
      <c r="J192" s="7">
        <v>0</v>
      </c>
      <c r="K192" s="7">
        <v>35</v>
      </c>
      <c r="L192" s="7">
        <v>1173.94</v>
      </c>
      <c r="M192" s="7">
        <v>1225.95</v>
      </c>
      <c r="N192" s="7">
        <v>1.5423604166666667</v>
      </c>
      <c r="O192" s="7" t="s">
        <v>128</v>
      </c>
      <c r="P192" s="7">
        <v>100</v>
      </c>
      <c r="Q192" s="7" t="s">
        <v>75</v>
      </c>
      <c r="R192" s="21" t="s">
        <v>1142</v>
      </c>
      <c r="S192" s="21" t="s">
        <v>1142</v>
      </c>
      <c r="T192" s="21">
        <v>24995.200000000001</v>
      </c>
      <c r="U192" s="21" t="str">
        <f>IFERROR(VLOOKUP(salesHistory[[#This Row],[order_no]],orderHistory[],22,FALSE),"")</f>
        <v>SUPPLY</v>
      </c>
    </row>
    <row r="193" spans="1:21">
      <c r="A193" s="7">
        <v>29</v>
      </c>
      <c r="B193" s="199" t="s">
        <v>895</v>
      </c>
      <c r="C193" s="200" t="s">
        <v>1132</v>
      </c>
      <c r="D193" s="7">
        <v>2496</v>
      </c>
      <c r="E193" s="72">
        <v>4.21</v>
      </c>
      <c r="H193" s="7"/>
      <c r="I193" s="7">
        <v>104</v>
      </c>
      <c r="J193" s="7">
        <v>0</v>
      </c>
      <c r="K193" s="7">
        <v>0</v>
      </c>
      <c r="L193" s="7">
        <v>676.41599999999994</v>
      </c>
      <c r="M193" s="7">
        <v>737.36</v>
      </c>
      <c r="N193" s="7">
        <v>1.6680299999999999</v>
      </c>
      <c r="O193" s="7" t="s">
        <v>170</v>
      </c>
      <c r="P193" s="7">
        <v>100</v>
      </c>
      <c r="Q193" s="7">
        <v>33072000</v>
      </c>
      <c r="R193" s="21" t="s">
        <v>1142</v>
      </c>
      <c r="S193" s="21" t="s">
        <v>1142</v>
      </c>
      <c r="T193" s="21">
        <v>10508.16</v>
      </c>
      <c r="U193" s="21" t="str">
        <f>IFERROR(VLOOKUP(salesHistory[[#This Row],[order_no]],orderHistory[],22,FALSE),"")</f>
        <v>SUPPLY</v>
      </c>
    </row>
    <row r="194" spans="1:21">
      <c r="A194" s="7">
        <v>29</v>
      </c>
      <c r="B194" s="199" t="s">
        <v>897</v>
      </c>
      <c r="C194" s="200" t="s">
        <v>1133</v>
      </c>
      <c r="D194" s="7">
        <v>2496</v>
      </c>
      <c r="E194" s="72">
        <v>4.21</v>
      </c>
      <c r="H194" s="7"/>
      <c r="I194" s="7">
        <v>104</v>
      </c>
      <c r="J194" s="7">
        <v>0</v>
      </c>
      <c r="K194" s="7">
        <v>0</v>
      </c>
      <c r="L194" s="7">
        <v>676.41599999999994</v>
      </c>
      <c r="M194" s="7">
        <v>737.36</v>
      </c>
      <c r="N194" s="7">
        <v>1.6680299999999999</v>
      </c>
      <c r="O194" s="7" t="s">
        <v>170</v>
      </c>
      <c r="P194" s="7">
        <v>100</v>
      </c>
      <c r="Q194" s="7">
        <v>33072000</v>
      </c>
      <c r="R194" s="21" t="s">
        <v>1142</v>
      </c>
      <c r="S194" s="21" t="s">
        <v>1142</v>
      </c>
      <c r="T194" s="21">
        <v>10508.16</v>
      </c>
      <c r="U194" s="21" t="str">
        <f>IFERROR(VLOOKUP(salesHistory[[#This Row],[order_no]],orderHistory[],22,FALSE),"")</f>
        <v>SUPPLY</v>
      </c>
    </row>
    <row r="195" spans="1:21">
      <c r="A195" s="7">
        <v>29</v>
      </c>
      <c r="B195" s="199" t="s">
        <v>899</v>
      </c>
      <c r="C195" s="200" t="s">
        <v>1134</v>
      </c>
      <c r="D195" s="7">
        <v>2496</v>
      </c>
      <c r="E195" s="72">
        <v>4.21</v>
      </c>
      <c r="H195" s="7"/>
      <c r="I195" s="7">
        <v>104</v>
      </c>
      <c r="J195" s="7">
        <v>0</v>
      </c>
      <c r="K195" s="7">
        <v>0</v>
      </c>
      <c r="L195" s="7">
        <v>676.41599999999994</v>
      </c>
      <c r="M195" s="7">
        <v>737.36</v>
      </c>
      <c r="N195" s="7">
        <v>1.6680299999999999</v>
      </c>
      <c r="O195" s="7" t="s">
        <v>170</v>
      </c>
      <c r="P195" s="7">
        <v>100</v>
      </c>
      <c r="Q195" s="7">
        <v>33072000</v>
      </c>
      <c r="R195" s="21" t="s">
        <v>1142</v>
      </c>
      <c r="S195" s="21" t="s">
        <v>1142</v>
      </c>
      <c r="T195" s="21">
        <v>10508.16</v>
      </c>
      <c r="U195" s="21" t="str">
        <f>IFERROR(VLOOKUP(salesHistory[[#This Row],[order_no]],orderHistory[],22,FALSE),"")</f>
        <v>SUPPLY</v>
      </c>
    </row>
    <row r="196" spans="1:21">
      <c r="A196" s="7">
        <v>29</v>
      </c>
      <c r="B196" s="199" t="s">
        <v>901</v>
      </c>
      <c r="C196" s="200" t="s">
        <v>1135</v>
      </c>
      <c r="D196" s="7">
        <v>2496</v>
      </c>
      <c r="E196" s="72">
        <v>4.21</v>
      </c>
      <c r="H196" s="7"/>
      <c r="I196" s="7">
        <v>104</v>
      </c>
      <c r="J196" s="7">
        <v>0</v>
      </c>
      <c r="K196" s="7">
        <v>0</v>
      </c>
      <c r="L196" s="7">
        <v>676.41599999999994</v>
      </c>
      <c r="M196" s="7">
        <v>737.36</v>
      </c>
      <c r="N196" s="7">
        <v>1.6680299999999999</v>
      </c>
      <c r="O196" s="7" t="s">
        <v>170</v>
      </c>
      <c r="P196" s="7">
        <v>100</v>
      </c>
      <c r="Q196" s="7">
        <v>33072000</v>
      </c>
      <c r="R196" s="21" t="s">
        <v>1142</v>
      </c>
      <c r="S196" s="21" t="s">
        <v>1142</v>
      </c>
      <c r="T196" s="21">
        <v>10508.16</v>
      </c>
      <c r="U196" s="21" t="str">
        <f>IFERROR(VLOOKUP(salesHistory[[#This Row],[order_no]],orderHistory[],22,FALSE),"")</f>
        <v>SUPPLY</v>
      </c>
    </row>
    <row r="197" spans="1:21">
      <c r="A197" s="439">
        <v>29</v>
      </c>
      <c r="B197" s="440" t="s">
        <v>905</v>
      </c>
      <c r="C197" s="441" t="s">
        <v>1129</v>
      </c>
      <c r="D197" s="439">
        <v>5016</v>
      </c>
      <c r="E197" s="442">
        <v>4.21</v>
      </c>
      <c r="F197" s="443"/>
      <c r="G197" s="442"/>
      <c r="H197" s="439"/>
      <c r="I197" s="439">
        <v>209</v>
      </c>
      <c r="J197" s="439">
        <v>0</v>
      </c>
      <c r="K197" s="439">
        <v>0</v>
      </c>
      <c r="L197" s="439">
        <v>1274.0640000000001</v>
      </c>
      <c r="M197" s="439">
        <v>1421.2</v>
      </c>
      <c r="N197" s="439">
        <v>4.7383957499999996</v>
      </c>
      <c r="O197" s="439" t="s">
        <v>170</v>
      </c>
      <c r="P197" s="439">
        <v>100</v>
      </c>
      <c r="Q197" s="439">
        <v>33072000</v>
      </c>
      <c r="R197" s="444" t="s">
        <v>1142</v>
      </c>
      <c r="S197" s="444" t="s">
        <v>1142</v>
      </c>
      <c r="T197" s="444">
        <v>21117.360000000001</v>
      </c>
      <c r="U197" s="21" t="str">
        <f>IFERROR(VLOOKUP(salesHistory[[#This Row],[order_no]],orderHistory[],22,FALSE),"")</f>
        <v>SUPPLY</v>
      </c>
    </row>
    <row r="198" spans="1:21">
      <c r="A198" s="7">
        <v>29</v>
      </c>
      <c r="B198" s="199" t="s">
        <v>907</v>
      </c>
      <c r="C198" s="200" t="s">
        <v>1131</v>
      </c>
      <c r="D198" s="7">
        <v>5016</v>
      </c>
      <c r="E198" s="72">
        <v>4.21</v>
      </c>
      <c r="H198" s="7"/>
      <c r="I198" s="7">
        <v>209</v>
      </c>
      <c r="J198" s="7">
        <v>0</v>
      </c>
      <c r="K198" s="7">
        <v>0</v>
      </c>
      <c r="L198" s="7">
        <v>1274.0640000000001</v>
      </c>
      <c r="M198" s="7">
        <v>1421.2</v>
      </c>
      <c r="N198" s="7">
        <v>4.7383957499999996</v>
      </c>
      <c r="O198" s="7" t="s">
        <v>170</v>
      </c>
      <c r="P198" s="7">
        <v>100</v>
      </c>
      <c r="Q198" s="7">
        <v>33072000</v>
      </c>
      <c r="R198" s="21" t="s">
        <v>1142</v>
      </c>
      <c r="S198" s="21" t="s">
        <v>1142</v>
      </c>
      <c r="T198" s="21">
        <v>21117.360000000001</v>
      </c>
      <c r="U198" s="21" t="str">
        <f>IFERROR(VLOOKUP(salesHistory[[#This Row],[order_no]],orderHistory[],22,FALSE),"")</f>
        <v>SUPPLY</v>
      </c>
    </row>
    <row r="199" spans="1:21">
      <c r="A199" s="7">
        <v>29</v>
      </c>
      <c r="B199" s="199" t="s">
        <v>909</v>
      </c>
      <c r="C199" s="200" t="s">
        <v>1130</v>
      </c>
      <c r="D199" s="7">
        <v>5016</v>
      </c>
      <c r="E199" s="72">
        <v>4.21</v>
      </c>
      <c r="H199" s="7"/>
      <c r="I199" s="7">
        <v>209</v>
      </c>
      <c r="J199" s="7">
        <v>0</v>
      </c>
      <c r="K199" s="7">
        <v>0</v>
      </c>
      <c r="L199" s="7">
        <v>1274.0640000000001</v>
      </c>
      <c r="M199" s="7">
        <v>1421.2</v>
      </c>
      <c r="N199" s="7">
        <v>4.7383957499999996</v>
      </c>
      <c r="O199" s="7" t="s">
        <v>170</v>
      </c>
      <c r="P199" s="7">
        <v>100</v>
      </c>
      <c r="Q199" s="7">
        <v>33072000</v>
      </c>
      <c r="R199" s="21" t="s">
        <v>1142</v>
      </c>
      <c r="S199" s="21" t="s">
        <v>1142</v>
      </c>
      <c r="T199" s="21">
        <v>21117.360000000001</v>
      </c>
      <c r="U199" s="21" t="str">
        <f>IFERROR(VLOOKUP(salesHistory[[#This Row],[order_no]],orderHistory[],22,FALSE),"")</f>
        <v>SUPPLY</v>
      </c>
    </row>
    <row r="200" spans="1:21">
      <c r="A200" s="7">
        <v>29</v>
      </c>
      <c r="B200" s="199" t="s">
        <v>989</v>
      </c>
      <c r="C200" s="200" t="s">
        <v>990</v>
      </c>
      <c r="D200" s="7">
        <v>14720</v>
      </c>
      <c r="E200" s="72">
        <v>0.158</v>
      </c>
      <c r="H200" s="7"/>
      <c r="I200" s="7" t="s">
        <v>1142</v>
      </c>
      <c r="J200" s="7" t="s">
        <v>1142</v>
      </c>
      <c r="K200" s="7" t="s">
        <v>1142</v>
      </c>
      <c r="L200" s="7" t="s">
        <v>1142</v>
      </c>
      <c r="M200" s="7" t="s">
        <v>1142</v>
      </c>
      <c r="N200" s="7" t="s">
        <v>1142</v>
      </c>
      <c r="O200" s="7">
        <v>0</v>
      </c>
      <c r="P200" s="7">
        <v>0</v>
      </c>
      <c r="Q200" s="7">
        <v>0</v>
      </c>
      <c r="R200" s="21" t="s">
        <v>1142</v>
      </c>
      <c r="S200" s="21" t="s">
        <v>1142</v>
      </c>
      <c r="T200" s="21">
        <v>2325.7600000000002</v>
      </c>
      <c r="U200" s="21" t="str">
        <f>IFERROR(VLOOKUP(salesHistory[[#This Row],[order_no]],orderHistory[],22,FALSE),"")</f>
        <v>SUPPLY</v>
      </c>
    </row>
    <row r="201" spans="1:21">
      <c r="A201" s="439">
        <v>29</v>
      </c>
      <c r="B201" s="440" t="s">
        <v>991</v>
      </c>
      <c r="C201" s="441" t="s">
        <v>992</v>
      </c>
      <c r="D201" s="439">
        <v>14720</v>
      </c>
      <c r="E201" s="442">
        <v>0.158</v>
      </c>
      <c r="F201" s="443"/>
      <c r="G201" s="442"/>
      <c r="H201" s="439"/>
      <c r="I201" s="439" t="s">
        <v>1142</v>
      </c>
      <c r="J201" s="439" t="s">
        <v>1142</v>
      </c>
      <c r="K201" s="439" t="s">
        <v>1142</v>
      </c>
      <c r="L201" s="439" t="s">
        <v>1142</v>
      </c>
      <c r="M201" s="439" t="s">
        <v>1142</v>
      </c>
      <c r="N201" s="439" t="s">
        <v>1142</v>
      </c>
      <c r="O201" s="439">
        <v>0</v>
      </c>
      <c r="P201" s="439">
        <v>0</v>
      </c>
      <c r="Q201" s="439">
        <v>0</v>
      </c>
      <c r="R201" s="444" t="s">
        <v>1142</v>
      </c>
      <c r="S201" s="444" t="s">
        <v>1142</v>
      </c>
      <c r="T201" s="444">
        <v>2325.7600000000002</v>
      </c>
      <c r="U201" s="444" t="str">
        <f>IFERROR(VLOOKUP(salesHistory[[#This Row],[order_no]],orderHistory[],22,FALSE),"")</f>
        <v>SUPPLY</v>
      </c>
    </row>
    <row r="202" spans="1:21">
      <c r="A202" s="7">
        <v>30</v>
      </c>
      <c r="B202" s="199" t="s">
        <v>180</v>
      </c>
      <c r="C202" s="200" t="s">
        <v>181</v>
      </c>
      <c r="D202" s="7">
        <v>4512</v>
      </c>
      <c r="E202" s="72">
        <v>0.81599999999999995</v>
      </c>
      <c r="H202" s="7"/>
      <c r="I202" s="7">
        <v>94</v>
      </c>
      <c r="J202" s="7">
        <v>0</v>
      </c>
      <c r="K202" s="7">
        <v>0</v>
      </c>
      <c r="L202" s="7">
        <v>703.12</v>
      </c>
      <c r="M202" s="7">
        <v>723.80000000000007</v>
      </c>
      <c r="N202" s="7">
        <v>3.200418</v>
      </c>
      <c r="O202" s="7" t="s">
        <v>170</v>
      </c>
      <c r="P202" s="7">
        <v>175</v>
      </c>
      <c r="Q202" s="7" t="s">
        <v>171</v>
      </c>
      <c r="R202" s="21" t="s">
        <v>1142</v>
      </c>
      <c r="S202" s="21" t="s">
        <v>1142</v>
      </c>
      <c r="T202" s="21">
        <v>3681.7919999999999</v>
      </c>
      <c r="U202" s="21" t="str">
        <f>IFERROR(VLOOKUP(salesHistory[[#This Row],[order_no]],orderHistory[],22,FALSE),"")</f>
        <v>SUPPLY</v>
      </c>
    </row>
    <row r="203" spans="1:21">
      <c r="A203" s="7">
        <v>30</v>
      </c>
      <c r="B203" s="199" t="s">
        <v>182</v>
      </c>
      <c r="C203" s="200" t="s">
        <v>183</v>
      </c>
      <c r="D203" s="7">
        <v>3504</v>
      </c>
      <c r="E203" s="72">
        <v>0.81599999999999995</v>
      </c>
      <c r="H203" s="7"/>
      <c r="I203" s="7">
        <v>73</v>
      </c>
      <c r="J203" s="7">
        <v>0</v>
      </c>
      <c r="K203" s="7">
        <v>0</v>
      </c>
      <c r="L203" s="7">
        <v>546.04000000000008</v>
      </c>
      <c r="M203" s="7">
        <v>562.1</v>
      </c>
      <c r="N203" s="7">
        <v>2.4854310000000002</v>
      </c>
      <c r="O203" s="7" t="s">
        <v>170</v>
      </c>
      <c r="P203" s="7">
        <v>175</v>
      </c>
      <c r="Q203" s="7" t="s">
        <v>171</v>
      </c>
      <c r="R203" s="21" t="s">
        <v>1142</v>
      </c>
      <c r="S203" s="21" t="s">
        <v>1142</v>
      </c>
      <c r="T203" s="21">
        <v>2859.2639999999997</v>
      </c>
      <c r="U203" s="21" t="str">
        <f>IFERROR(VLOOKUP(salesHistory[[#This Row],[order_no]],orderHistory[],22,FALSE),"")</f>
        <v>SUPPLY</v>
      </c>
    </row>
    <row r="204" spans="1:21">
      <c r="A204" s="7">
        <v>30</v>
      </c>
      <c r="B204" s="199" t="s">
        <v>184</v>
      </c>
      <c r="C204" s="200" t="s">
        <v>185</v>
      </c>
      <c r="D204" s="7">
        <v>5088</v>
      </c>
      <c r="E204" s="72">
        <v>0.81599999999999995</v>
      </c>
      <c r="H204" s="7"/>
      <c r="I204" s="7">
        <v>106</v>
      </c>
      <c r="J204" s="7">
        <v>0</v>
      </c>
      <c r="K204" s="7">
        <v>0</v>
      </c>
      <c r="L204" s="7">
        <v>792.88</v>
      </c>
      <c r="M204" s="7">
        <v>816.2</v>
      </c>
      <c r="N204" s="7">
        <v>3.6089820000000001</v>
      </c>
      <c r="O204" s="7" t="s">
        <v>170</v>
      </c>
      <c r="P204" s="7">
        <v>175</v>
      </c>
      <c r="Q204" s="7" t="s">
        <v>171</v>
      </c>
      <c r="R204" s="21" t="s">
        <v>1142</v>
      </c>
      <c r="S204" s="21" t="s">
        <v>1142</v>
      </c>
      <c r="T204" s="21">
        <v>4151.808</v>
      </c>
      <c r="U204" s="21" t="str">
        <f>IFERROR(VLOOKUP(salesHistory[[#This Row],[order_no]],orderHistory[],22,FALSE),"")</f>
        <v>SUPPLY</v>
      </c>
    </row>
    <row r="205" spans="1:21">
      <c r="A205" s="7">
        <v>30</v>
      </c>
      <c r="B205" s="199" t="s">
        <v>186</v>
      </c>
      <c r="C205" s="200" t="s">
        <v>187</v>
      </c>
      <c r="D205" s="7">
        <v>4656</v>
      </c>
      <c r="E205" s="72">
        <v>0.81599999999999995</v>
      </c>
      <c r="H205" s="7"/>
      <c r="I205" s="7">
        <v>97</v>
      </c>
      <c r="J205" s="7">
        <v>0</v>
      </c>
      <c r="K205" s="7">
        <v>0</v>
      </c>
      <c r="L205" s="7">
        <v>725.56000000000006</v>
      </c>
      <c r="M205" s="7">
        <v>746.9</v>
      </c>
      <c r="N205" s="7">
        <v>3.302559</v>
      </c>
      <c r="O205" s="7" t="s">
        <v>170</v>
      </c>
      <c r="P205" s="7">
        <v>175</v>
      </c>
      <c r="Q205" s="7" t="s">
        <v>171</v>
      </c>
      <c r="R205" s="21" t="s">
        <v>1142</v>
      </c>
      <c r="S205" s="21" t="s">
        <v>1142</v>
      </c>
      <c r="T205" s="21">
        <v>3799.2959999999998</v>
      </c>
      <c r="U205" s="21" t="str">
        <f>IFERROR(VLOOKUP(salesHistory[[#This Row],[order_no]],orderHistory[],22,FALSE),"")</f>
        <v>SUPPLY</v>
      </c>
    </row>
    <row r="206" spans="1:21">
      <c r="A206" s="7">
        <v>30</v>
      </c>
      <c r="B206" s="199" t="s">
        <v>169</v>
      </c>
      <c r="C206" s="200" t="s">
        <v>172</v>
      </c>
      <c r="D206" s="7">
        <v>3840</v>
      </c>
      <c r="E206" s="72">
        <v>0.81599999999999995</v>
      </c>
      <c r="H206" s="7"/>
      <c r="I206" s="7">
        <v>80</v>
      </c>
      <c r="J206" s="7">
        <v>0</v>
      </c>
      <c r="K206" s="7">
        <v>0</v>
      </c>
      <c r="L206" s="7">
        <v>503.04</v>
      </c>
      <c r="M206" s="7">
        <v>562.88</v>
      </c>
      <c r="N206" s="7">
        <v>2.0992000000000002</v>
      </c>
      <c r="O206" s="7" t="s">
        <v>170</v>
      </c>
      <c r="P206" s="7">
        <v>150</v>
      </c>
      <c r="Q206" s="7">
        <v>33072000</v>
      </c>
      <c r="R206" s="21" t="s">
        <v>1142</v>
      </c>
      <c r="S206" s="21" t="s">
        <v>1142</v>
      </c>
      <c r="T206" s="21">
        <v>3133.4399999999996</v>
      </c>
      <c r="U206" s="21" t="str">
        <f>IFERROR(VLOOKUP(salesHistory[[#This Row],[order_no]],orderHistory[],22,FALSE),"")</f>
        <v>SUPPLY</v>
      </c>
    </row>
    <row r="207" spans="1:21">
      <c r="A207" s="7">
        <v>32</v>
      </c>
      <c r="B207" s="199" t="s">
        <v>111</v>
      </c>
      <c r="C207" s="200" t="s">
        <v>112</v>
      </c>
      <c r="E207" s="72"/>
      <c r="H207" s="7">
        <v>45</v>
      </c>
      <c r="I207" s="7">
        <v>0</v>
      </c>
      <c r="K207" s="7">
        <v>2</v>
      </c>
      <c r="L207" s="7">
        <v>14.1</v>
      </c>
      <c r="M207" s="7">
        <v>15.43125</v>
      </c>
      <c r="N207" s="7">
        <v>0</v>
      </c>
      <c r="O207" s="7" t="s">
        <v>74</v>
      </c>
      <c r="P207" s="7">
        <v>100</v>
      </c>
      <c r="Q207" s="7" t="s">
        <v>75</v>
      </c>
      <c r="R207" s="21">
        <v>13057</v>
      </c>
      <c r="S207" s="21">
        <v>5</v>
      </c>
      <c r="T207" s="21">
        <v>225</v>
      </c>
      <c r="U207" s="21" t="str">
        <f>IFERROR(VLOOKUP(salesHistory[[#This Row],[order_no]],orderHistory[],22,FALSE),"")</f>
        <v>SAMPLING</v>
      </c>
    </row>
    <row r="208" spans="1:21">
      <c r="A208" s="7">
        <v>32</v>
      </c>
      <c r="B208" s="199" t="s">
        <v>113</v>
      </c>
      <c r="C208" s="200" t="s">
        <v>114</v>
      </c>
      <c r="E208" s="72"/>
      <c r="H208" s="7">
        <v>25</v>
      </c>
      <c r="I208" s="7">
        <v>0</v>
      </c>
      <c r="K208" s="7">
        <v>2</v>
      </c>
      <c r="L208" s="7">
        <v>7.833333333333333</v>
      </c>
      <c r="M208" s="7">
        <v>8.5729166666666679</v>
      </c>
      <c r="N208" s="7">
        <v>0</v>
      </c>
      <c r="O208" s="7" t="s">
        <v>74</v>
      </c>
      <c r="P208" s="7">
        <v>100</v>
      </c>
      <c r="Q208" s="7" t="s">
        <v>75</v>
      </c>
      <c r="R208" s="21">
        <v>12936</v>
      </c>
      <c r="S208" s="21">
        <v>5</v>
      </c>
      <c r="T208" s="21">
        <v>125</v>
      </c>
      <c r="U208" s="21" t="str">
        <f>IFERROR(VLOOKUP(salesHistory[[#This Row],[order_no]],orderHistory[],22,FALSE),"")</f>
        <v>SAMPLING</v>
      </c>
    </row>
    <row r="209" spans="1:21">
      <c r="A209" s="7">
        <v>32</v>
      </c>
      <c r="B209" s="199" t="s">
        <v>115</v>
      </c>
      <c r="C209" s="200" t="s">
        <v>116</v>
      </c>
      <c r="E209" s="72"/>
      <c r="H209" s="7">
        <v>45</v>
      </c>
      <c r="I209" s="7">
        <v>0</v>
      </c>
      <c r="K209" s="7">
        <v>2</v>
      </c>
      <c r="L209" s="7">
        <v>14.1</v>
      </c>
      <c r="M209" s="7">
        <v>15.43125</v>
      </c>
      <c r="N209" s="7">
        <v>0</v>
      </c>
      <c r="O209" s="7" t="s">
        <v>74</v>
      </c>
      <c r="P209" s="7">
        <v>100</v>
      </c>
      <c r="Q209" s="7" t="s">
        <v>75</v>
      </c>
      <c r="R209" s="21">
        <v>12592</v>
      </c>
      <c r="S209" s="21">
        <v>5</v>
      </c>
      <c r="T209" s="21">
        <v>225</v>
      </c>
      <c r="U209" s="21" t="str">
        <f>IFERROR(VLOOKUP(salesHistory[[#This Row],[order_no]],orderHistory[],22,FALSE),"")</f>
        <v>SAMPLING</v>
      </c>
    </row>
    <row r="210" spans="1:21">
      <c r="A210" s="7">
        <v>32</v>
      </c>
      <c r="B210" s="199" t="s">
        <v>117</v>
      </c>
      <c r="C210" s="200" t="s">
        <v>118</v>
      </c>
      <c r="E210" s="72"/>
      <c r="H210" s="7">
        <v>25</v>
      </c>
      <c r="I210" s="7">
        <v>0</v>
      </c>
      <c r="K210" s="7">
        <v>2</v>
      </c>
      <c r="L210" s="7">
        <v>7.833333333333333</v>
      </c>
      <c r="M210" s="7">
        <v>8.5729166666666679</v>
      </c>
      <c r="N210" s="7">
        <v>0</v>
      </c>
      <c r="O210" s="7" t="s">
        <v>74</v>
      </c>
      <c r="P210" s="7">
        <v>100</v>
      </c>
      <c r="Q210" s="7" t="s">
        <v>75</v>
      </c>
      <c r="R210" s="21">
        <v>9822</v>
      </c>
      <c r="S210" s="21">
        <v>5</v>
      </c>
      <c r="T210" s="21">
        <v>125</v>
      </c>
      <c r="U210" s="21" t="str">
        <f>IFERROR(VLOOKUP(salesHistory[[#This Row],[order_no]],orderHistory[],22,FALSE),"")</f>
        <v>SAMPLING</v>
      </c>
    </row>
    <row r="211" spans="1:21">
      <c r="A211" s="7">
        <v>32</v>
      </c>
      <c r="B211" s="199" t="s">
        <v>119</v>
      </c>
      <c r="C211" s="200" t="s">
        <v>120</v>
      </c>
      <c r="E211" s="72"/>
      <c r="H211" s="7">
        <v>25</v>
      </c>
      <c r="I211" s="7">
        <v>0</v>
      </c>
      <c r="K211" s="7">
        <v>2</v>
      </c>
      <c r="L211" s="7">
        <v>7.1562500000000009</v>
      </c>
      <c r="M211" s="7">
        <v>7.875</v>
      </c>
      <c r="N211" s="7">
        <v>0</v>
      </c>
      <c r="O211" s="7" t="s">
        <v>74</v>
      </c>
      <c r="P211" s="7">
        <v>100</v>
      </c>
      <c r="Q211" s="7" t="s">
        <v>75</v>
      </c>
      <c r="R211" s="21">
        <v>9142</v>
      </c>
      <c r="S211" s="21">
        <v>5</v>
      </c>
      <c r="T211" s="21">
        <v>125</v>
      </c>
      <c r="U211" s="21" t="str">
        <f>IFERROR(VLOOKUP(salesHistory[[#This Row],[order_no]],orderHistory[],22,FALSE),"")</f>
        <v>SAMPLING</v>
      </c>
    </row>
    <row r="212" spans="1:21">
      <c r="A212" s="7">
        <v>32</v>
      </c>
      <c r="B212" s="199" t="s">
        <v>121</v>
      </c>
      <c r="C212" s="200" t="s">
        <v>122</v>
      </c>
      <c r="E212" s="72"/>
      <c r="H212" s="7">
        <v>45</v>
      </c>
      <c r="I212" s="7">
        <v>0</v>
      </c>
      <c r="K212" s="7">
        <v>2</v>
      </c>
      <c r="L212" s="7">
        <v>12.88125</v>
      </c>
      <c r="M212" s="7">
        <v>14.174999999999999</v>
      </c>
      <c r="N212" s="7">
        <v>0</v>
      </c>
      <c r="O212" s="7" t="s">
        <v>74</v>
      </c>
      <c r="P212" s="7">
        <v>100</v>
      </c>
      <c r="Q212" s="7" t="s">
        <v>75</v>
      </c>
      <c r="R212" s="21">
        <v>8908</v>
      </c>
      <c r="S212" s="21">
        <v>5</v>
      </c>
      <c r="T212" s="21">
        <v>225</v>
      </c>
      <c r="U212" s="21" t="str">
        <f>IFERROR(VLOOKUP(salesHistory[[#This Row],[order_no]],orderHistory[],22,FALSE),"")</f>
        <v>SAMPLING</v>
      </c>
    </row>
    <row r="213" spans="1:21">
      <c r="A213" s="7">
        <v>32</v>
      </c>
      <c r="B213" s="199" t="s">
        <v>123</v>
      </c>
      <c r="C213" s="200" t="s">
        <v>124</v>
      </c>
      <c r="E213" s="72"/>
      <c r="H213" s="7">
        <v>25</v>
      </c>
      <c r="I213" s="7">
        <v>0</v>
      </c>
      <c r="K213" s="7">
        <v>2</v>
      </c>
      <c r="L213" s="7">
        <v>7.1562500000000009</v>
      </c>
      <c r="M213" s="7">
        <v>7.875</v>
      </c>
      <c r="N213" s="7">
        <v>0</v>
      </c>
      <c r="O213" s="7" t="s">
        <v>74</v>
      </c>
      <c r="P213" s="7">
        <v>100</v>
      </c>
      <c r="Q213" s="7" t="s">
        <v>75</v>
      </c>
      <c r="R213" s="21">
        <v>6410</v>
      </c>
      <c r="S213" s="21">
        <v>5</v>
      </c>
      <c r="T213" s="21">
        <v>125</v>
      </c>
      <c r="U213" s="21" t="str">
        <f>IFERROR(VLOOKUP(salesHistory[[#This Row],[order_no]],orderHistory[],22,FALSE),"")</f>
        <v>SAMPLING</v>
      </c>
    </row>
    <row r="214" spans="1:21">
      <c r="A214" s="7">
        <v>32</v>
      </c>
      <c r="B214" s="199" t="s">
        <v>125</v>
      </c>
      <c r="C214" s="200" t="s">
        <v>126</v>
      </c>
      <c r="E214" s="72"/>
      <c r="H214" s="7">
        <v>45</v>
      </c>
      <c r="I214" s="7">
        <v>0</v>
      </c>
      <c r="K214" s="7">
        <v>2</v>
      </c>
      <c r="L214" s="7">
        <v>12.88125</v>
      </c>
      <c r="M214" s="7">
        <v>14.174999999999999</v>
      </c>
      <c r="N214" s="7">
        <v>0</v>
      </c>
      <c r="O214" s="7" t="s">
        <v>74</v>
      </c>
      <c r="P214" s="7">
        <v>100</v>
      </c>
      <c r="Q214" s="7" t="s">
        <v>75</v>
      </c>
      <c r="R214" s="21">
        <v>6478</v>
      </c>
      <c r="S214" s="21">
        <v>5</v>
      </c>
      <c r="T214" s="21">
        <v>225</v>
      </c>
      <c r="U214" s="21" t="str">
        <f>IFERROR(VLOOKUP(salesHistory[[#This Row],[order_no]],orderHistory[],22,FALSE),"")</f>
        <v>SAMPLING</v>
      </c>
    </row>
    <row r="215" spans="1:21">
      <c r="A215" s="7">
        <v>32</v>
      </c>
      <c r="B215" s="199" t="s">
        <v>92</v>
      </c>
      <c r="C215" s="200" t="s">
        <v>93</v>
      </c>
      <c r="E215" s="72"/>
      <c r="H215" s="7">
        <v>6</v>
      </c>
      <c r="I215" s="7">
        <v>0</v>
      </c>
      <c r="K215" s="7">
        <v>1</v>
      </c>
      <c r="L215" s="7">
        <v>2.9249999999999998</v>
      </c>
      <c r="M215" s="7">
        <v>3.3</v>
      </c>
      <c r="N215" s="7">
        <v>0</v>
      </c>
      <c r="O215" s="7" t="s">
        <v>37</v>
      </c>
      <c r="P215" s="7">
        <v>100</v>
      </c>
      <c r="Q215" s="7">
        <v>0</v>
      </c>
      <c r="R215" s="21">
        <v>100</v>
      </c>
      <c r="S215" s="21">
        <v>0</v>
      </c>
      <c r="T215" s="21">
        <v>0</v>
      </c>
      <c r="U215" s="21" t="str">
        <f>IFERROR(VLOOKUP(salesHistory[[#This Row],[order_no]],orderHistory[],22,FALSE),"")</f>
        <v>SAMPLING</v>
      </c>
    </row>
    <row r="216" spans="1:21">
      <c r="A216" s="7">
        <v>32</v>
      </c>
      <c r="B216" s="199" t="s">
        <v>94</v>
      </c>
      <c r="C216" s="200" t="s">
        <v>95</v>
      </c>
      <c r="E216" s="72"/>
      <c r="H216" s="7">
        <v>6</v>
      </c>
      <c r="I216" s="7">
        <v>0</v>
      </c>
      <c r="K216" s="7">
        <v>1</v>
      </c>
      <c r="L216" s="7">
        <v>2.9249999999999998</v>
      </c>
      <c r="M216" s="7">
        <v>3.3</v>
      </c>
      <c r="N216" s="7">
        <v>0</v>
      </c>
      <c r="O216" s="7" t="s">
        <v>37</v>
      </c>
      <c r="P216" s="7">
        <v>100</v>
      </c>
      <c r="Q216" s="7">
        <v>0</v>
      </c>
      <c r="R216" s="21">
        <v>250</v>
      </c>
      <c r="S216" s="21">
        <v>0</v>
      </c>
      <c r="T216" s="21">
        <v>0</v>
      </c>
      <c r="U216" s="21" t="str">
        <f>IFERROR(VLOOKUP(salesHistory[[#This Row],[order_no]],orderHistory[],22,FALSE),"")</f>
        <v>SAMPLING</v>
      </c>
    </row>
    <row r="217" spans="1:21">
      <c r="A217" s="7">
        <v>32</v>
      </c>
      <c r="B217" s="199" t="s">
        <v>96</v>
      </c>
      <c r="C217" s="200" t="s">
        <v>97</v>
      </c>
      <c r="E217" s="72"/>
      <c r="H217" s="7">
        <v>6</v>
      </c>
      <c r="I217" s="7">
        <v>0</v>
      </c>
      <c r="K217" s="7">
        <v>1</v>
      </c>
      <c r="L217" s="7">
        <v>2.9249999999999998</v>
      </c>
      <c r="M217" s="7">
        <v>3.3</v>
      </c>
      <c r="N217" s="7">
        <v>0</v>
      </c>
      <c r="O217" s="7" t="s">
        <v>37</v>
      </c>
      <c r="P217" s="7">
        <v>100</v>
      </c>
      <c r="Q217" s="7">
        <v>0</v>
      </c>
      <c r="R217" s="21">
        <v>60</v>
      </c>
      <c r="S217" s="21">
        <v>0</v>
      </c>
      <c r="T217" s="21">
        <v>0</v>
      </c>
      <c r="U217" s="21" t="str">
        <f>IFERROR(VLOOKUP(salesHistory[[#This Row],[order_no]],orderHistory[],22,FALSE),"")</f>
        <v>SAMPLING</v>
      </c>
    </row>
    <row r="218" spans="1:21">
      <c r="A218" s="7">
        <v>32</v>
      </c>
      <c r="B218" s="199" t="s">
        <v>98</v>
      </c>
      <c r="C218" s="200" t="s">
        <v>99</v>
      </c>
      <c r="E218" s="72"/>
      <c r="H218" s="7">
        <v>6</v>
      </c>
      <c r="I218" s="7">
        <v>0</v>
      </c>
      <c r="K218" s="7">
        <v>1</v>
      </c>
      <c r="L218" s="7">
        <v>2.9249999999999998</v>
      </c>
      <c r="M218" s="7">
        <v>3.3</v>
      </c>
      <c r="N218" s="7">
        <v>0</v>
      </c>
      <c r="O218" s="7" t="s">
        <v>37</v>
      </c>
      <c r="P218" s="7">
        <v>100</v>
      </c>
      <c r="Q218" s="7">
        <v>0</v>
      </c>
      <c r="R218" s="21">
        <v>250</v>
      </c>
      <c r="S218" s="21">
        <v>0</v>
      </c>
      <c r="T218" s="21">
        <v>0</v>
      </c>
      <c r="U218" s="21" t="str">
        <f>IFERROR(VLOOKUP(salesHistory[[#This Row],[order_no]],orderHistory[],22,FALSE),"")</f>
        <v>SAMPLING</v>
      </c>
    </row>
    <row r="219" spans="1:21">
      <c r="A219" s="7">
        <v>32</v>
      </c>
      <c r="B219" s="199" t="s">
        <v>36</v>
      </c>
      <c r="C219" s="200" t="s">
        <v>39</v>
      </c>
      <c r="E219" s="72"/>
      <c r="H219" s="7">
        <v>6</v>
      </c>
      <c r="I219" s="7">
        <v>0</v>
      </c>
      <c r="K219" s="7">
        <v>1</v>
      </c>
      <c r="L219" s="7">
        <v>2.52</v>
      </c>
      <c r="M219" s="7">
        <v>2.895</v>
      </c>
      <c r="N219" s="7">
        <v>0</v>
      </c>
      <c r="O219" s="7" t="s">
        <v>37</v>
      </c>
      <c r="P219" s="7">
        <v>50</v>
      </c>
      <c r="Q219" s="7">
        <v>0</v>
      </c>
      <c r="R219" s="21">
        <v>398</v>
      </c>
      <c r="S219" s="21">
        <v>5.23</v>
      </c>
      <c r="T219" s="21">
        <v>31.380000000000003</v>
      </c>
      <c r="U219" s="21" t="str">
        <f>IFERROR(VLOOKUP(salesHistory[[#This Row],[order_no]],orderHistory[],22,FALSE),"")</f>
        <v>SAMPLING</v>
      </c>
    </row>
    <row r="220" spans="1:21">
      <c r="A220" s="7">
        <v>32</v>
      </c>
      <c r="B220" s="199" t="s">
        <v>42</v>
      </c>
      <c r="C220" s="200" t="s">
        <v>43</v>
      </c>
      <c r="E220" s="72"/>
      <c r="H220" s="7">
        <v>6</v>
      </c>
      <c r="I220" s="7">
        <v>0</v>
      </c>
      <c r="K220" s="7">
        <v>1</v>
      </c>
      <c r="L220" s="7">
        <v>2.52</v>
      </c>
      <c r="M220" s="7">
        <v>2.895</v>
      </c>
      <c r="N220" s="7">
        <v>0</v>
      </c>
      <c r="O220" s="7" t="s">
        <v>37</v>
      </c>
      <c r="P220" s="7">
        <v>50</v>
      </c>
      <c r="Q220" s="7">
        <v>0</v>
      </c>
      <c r="R220" s="21">
        <v>243</v>
      </c>
      <c r="S220" s="21">
        <v>5.23</v>
      </c>
      <c r="T220" s="21">
        <v>31.380000000000003</v>
      </c>
      <c r="U220" s="21" t="str">
        <f>IFERROR(VLOOKUP(salesHistory[[#This Row],[order_no]],orderHistory[],22,FALSE),"")</f>
        <v>SAMPLING</v>
      </c>
    </row>
    <row r="221" spans="1:21">
      <c r="A221" s="7">
        <v>32</v>
      </c>
      <c r="B221" s="199" t="s">
        <v>44</v>
      </c>
      <c r="C221" s="200" t="s">
        <v>45</v>
      </c>
      <c r="E221" s="72"/>
      <c r="H221" s="7">
        <v>6</v>
      </c>
      <c r="I221" s="7">
        <v>0</v>
      </c>
      <c r="K221" s="7">
        <v>1</v>
      </c>
      <c r="L221" s="7">
        <v>2.52</v>
      </c>
      <c r="M221" s="7">
        <v>2.895</v>
      </c>
      <c r="N221" s="7">
        <v>0</v>
      </c>
      <c r="O221" s="7" t="s">
        <v>37</v>
      </c>
      <c r="P221" s="7">
        <v>50</v>
      </c>
      <c r="Q221" s="7">
        <v>0</v>
      </c>
      <c r="R221" s="21">
        <v>437</v>
      </c>
      <c r="S221" s="21">
        <v>5.23</v>
      </c>
      <c r="T221" s="21">
        <v>31.380000000000003</v>
      </c>
      <c r="U221" s="21" t="str">
        <f>IFERROR(VLOOKUP(salesHistory[[#This Row],[order_no]],orderHistory[],22,FALSE),"")</f>
        <v>SAMPLING</v>
      </c>
    </row>
    <row r="222" spans="1:21">
      <c r="A222" s="7">
        <v>32</v>
      </c>
      <c r="B222" s="199" t="s">
        <v>46</v>
      </c>
      <c r="C222" s="200" t="s">
        <v>47</v>
      </c>
      <c r="E222" s="72"/>
      <c r="H222" s="7">
        <v>6</v>
      </c>
      <c r="I222" s="7">
        <v>0</v>
      </c>
      <c r="K222" s="7">
        <v>1</v>
      </c>
      <c r="L222" s="7">
        <v>2.52</v>
      </c>
      <c r="M222" s="7">
        <v>2.895</v>
      </c>
      <c r="N222" s="7">
        <v>0</v>
      </c>
      <c r="O222" s="7" t="s">
        <v>37</v>
      </c>
      <c r="P222" s="7">
        <v>50</v>
      </c>
      <c r="Q222" s="7">
        <v>0</v>
      </c>
      <c r="R222" s="21">
        <v>437</v>
      </c>
      <c r="S222" s="21">
        <v>5.23</v>
      </c>
      <c r="T222" s="21">
        <v>31.380000000000003</v>
      </c>
      <c r="U222" s="21" t="str">
        <f>IFERROR(VLOOKUP(salesHistory[[#This Row],[order_no]],orderHistory[],22,FALSE),"")</f>
        <v>SAMPLING</v>
      </c>
    </row>
    <row r="223" spans="1:21">
      <c r="A223" s="7">
        <v>32</v>
      </c>
      <c r="B223" s="199" t="s">
        <v>48</v>
      </c>
      <c r="C223" s="200" t="s">
        <v>50</v>
      </c>
      <c r="E223" s="72"/>
      <c r="H223" s="7">
        <v>6</v>
      </c>
      <c r="I223" s="7">
        <v>0</v>
      </c>
      <c r="K223" s="7">
        <v>1</v>
      </c>
      <c r="L223" s="7">
        <v>2.39</v>
      </c>
      <c r="M223" s="7">
        <v>2.625</v>
      </c>
      <c r="N223" s="7">
        <v>0</v>
      </c>
      <c r="O223" s="7" t="s">
        <v>37</v>
      </c>
      <c r="P223" s="7">
        <v>50</v>
      </c>
      <c r="Q223" s="7">
        <v>0</v>
      </c>
      <c r="R223" s="21">
        <v>471</v>
      </c>
      <c r="S223" s="21">
        <v>5.23</v>
      </c>
      <c r="T223" s="21">
        <v>31.380000000000003</v>
      </c>
      <c r="U223" s="21" t="str">
        <f>IFERROR(VLOOKUP(salesHistory[[#This Row],[order_no]],orderHistory[],22,FALSE),"")</f>
        <v>SAMPLING</v>
      </c>
    </row>
    <row r="224" spans="1:21">
      <c r="A224" s="7">
        <v>32</v>
      </c>
      <c r="B224" s="199" t="s">
        <v>51</v>
      </c>
      <c r="C224" s="200" t="s">
        <v>52</v>
      </c>
      <c r="E224" s="72"/>
      <c r="H224" s="7">
        <v>6</v>
      </c>
      <c r="I224" s="7">
        <v>0</v>
      </c>
      <c r="K224" s="7">
        <v>1</v>
      </c>
      <c r="L224" s="7">
        <v>2.39</v>
      </c>
      <c r="M224" s="7">
        <v>2.625</v>
      </c>
      <c r="N224" s="7">
        <v>0</v>
      </c>
      <c r="O224" s="7" t="s">
        <v>37</v>
      </c>
      <c r="P224" s="7">
        <v>50</v>
      </c>
      <c r="Q224" s="7">
        <v>0</v>
      </c>
      <c r="R224" s="21">
        <v>303</v>
      </c>
      <c r="S224" s="21">
        <v>5.23</v>
      </c>
      <c r="T224" s="21">
        <v>31.380000000000003</v>
      </c>
      <c r="U224" s="21" t="str">
        <f>IFERROR(VLOOKUP(salesHistory[[#This Row],[order_no]],orderHistory[],22,FALSE),"")</f>
        <v>SAMPLING</v>
      </c>
    </row>
    <row r="225" spans="1:21">
      <c r="A225" s="7">
        <v>32</v>
      </c>
      <c r="B225" s="199" t="s">
        <v>53</v>
      </c>
      <c r="C225" s="200" t="s">
        <v>54</v>
      </c>
      <c r="E225" s="72"/>
      <c r="H225" s="7">
        <v>6</v>
      </c>
      <c r="I225" s="7">
        <v>0</v>
      </c>
      <c r="K225" s="7">
        <v>1</v>
      </c>
      <c r="L225" s="7">
        <v>2.39</v>
      </c>
      <c r="M225" s="7">
        <v>2.625</v>
      </c>
      <c r="N225" s="7">
        <v>0</v>
      </c>
      <c r="O225" s="7" t="s">
        <v>37</v>
      </c>
      <c r="P225" s="7">
        <v>50</v>
      </c>
      <c r="Q225" s="7">
        <v>0</v>
      </c>
      <c r="R225" s="21">
        <v>497</v>
      </c>
      <c r="S225" s="21">
        <v>5.23</v>
      </c>
      <c r="T225" s="21">
        <v>31.380000000000003</v>
      </c>
      <c r="U225" s="21" t="str">
        <f>IFERROR(VLOOKUP(salesHistory[[#This Row],[order_no]],orderHistory[],22,FALSE),"")</f>
        <v>SAMPLING</v>
      </c>
    </row>
    <row r="226" spans="1:21">
      <c r="A226" s="7">
        <v>32</v>
      </c>
      <c r="B226" s="199" t="s">
        <v>55</v>
      </c>
      <c r="C226" s="200" t="s">
        <v>56</v>
      </c>
      <c r="E226" s="72"/>
      <c r="H226" s="7">
        <v>6</v>
      </c>
      <c r="I226" s="7">
        <v>0</v>
      </c>
      <c r="K226" s="7">
        <v>1</v>
      </c>
      <c r="L226" s="7">
        <v>2.39</v>
      </c>
      <c r="M226" s="7">
        <v>2.625</v>
      </c>
      <c r="N226" s="7">
        <v>0</v>
      </c>
      <c r="O226" s="7" t="s">
        <v>37</v>
      </c>
      <c r="P226" s="7">
        <v>50</v>
      </c>
      <c r="Q226" s="7">
        <v>0</v>
      </c>
      <c r="R226" s="21">
        <v>520</v>
      </c>
      <c r="S226" s="21">
        <v>5.23</v>
      </c>
      <c r="T226" s="21">
        <v>31.380000000000003</v>
      </c>
      <c r="U226" s="21" t="str">
        <f>IFERROR(VLOOKUP(salesHistory[[#This Row],[order_no]],orderHistory[],22,FALSE),"")</f>
        <v>SAMPLING</v>
      </c>
    </row>
    <row r="227" spans="1:21">
      <c r="A227" s="7">
        <v>32</v>
      </c>
      <c r="B227" s="199" t="s">
        <v>100</v>
      </c>
      <c r="C227" s="200" t="s">
        <v>101</v>
      </c>
      <c r="E227" s="72"/>
      <c r="H227" s="7">
        <v>6</v>
      </c>
      <c r="I227" s="7">
        <v>0</v>
      </c>
      <c r="K227" s="7">
        <v>1</v>
      </c>
      <c r="L227" s="7">
        <v>2.625</v>
      </c>
      <c r="M227" s="7">
        <v>3</v>
      </c>
      <c r="N227" s="7">
        <v>0</v>
      </c>
      <c r="O227" s="7" t="s">
        <v>37</v>
      </c>
      <c r="P227" s="7">
        <v>100</v>
      </c>
      <c r="Q227" s="7">
        <v>0</v>
      </c>
      <c r="R227" s="21">
        <v>40</v>
      </c>
      <c r="S227" s="21">
        <v>0</v>
      </c>
      <c r="T227" s="21">
        <v>0</v>
      </c>
      <c r="U227" s="21" t="str">
        <f>IFERROR(VLOOKUP(salesHistory[[#This Row],[order_no]],orderHistory[],22,FALSE),"")</f>
        <v>SAMPLING</v>
      </c>
    </row>
    <row r="228" spans="1:21">
      <c r="A228" s="7">
        <v>32</v>
      </c>
      <c r="B228" s="199" t="s">
        <v>102</v>
      </c>
      <c r="C228" s="200" t="s">
        <v>103</v>
      </c>
      <c r="E228" s="72"/>
      <c r="H228" s="7">
        <v>6</v>
      </c>
      <c r="I228" s="7">
        <v>0</v>
      </c>
      <c r="K228" s="7">
        <v>1</v>
      </c>
      <c r="L228" s="7">
        <v>2.625</v>
      </c>
      <c r="M228" s="7">
        <v>3</v>
      </c>
      <c r="N228" s="7">
        <v>0</v>
      </c>
      <c r="O228" s="7" t="s">
        <v>37</v>
      </c>
      <c r="P228" s="7">
        <v>100</v>
      </c>
      <c r="Q228" s="7">
        <v>0</v>
      </c>
      <c r="R228" s="21">
        <v>0</v>
      </c>
      <c r="S228" s="21">
        <v>0</v>
      </c>
      <c r="T228" s="21">
        <v>0</v>
      </c>
      <c r="U228" s="21" t="str">
        <f>IFERROR(VLOOKUP(salesHistory[[#This Row],[order_no]],orderHistory[],22,FALSE),"")</f>
        <v>SAMPLING</v>
      </c>
    </row>
    <row r="229" spans="1:21">
      <c r="A229" s="7">
        <v>32</v>
      </c>
      <c r="B229" s="199" t="s">
        <v>104</v>
      </c>
      <c r="C229" s="200" t="s">
        <v>105</v>
      </c>
      <c r="E229" s="72"/>
      <c r="H229" s="7">
        <v>6</v>
      </c>
      <c r="I229" s="7">
        <v>0</v>
      </c>
      <c r="K229" s="7">
        <v>1</v>
      </c>
      <c r="L229" s="7">
        <v>2.625</v>
      </c>
      <c r="M229" s="7">
        <v>3</v>
      </c>
      <c r="N229" s="7">
        <v>0</v>
      </c>
      <c r="O229" s="7" t="s">
        <v>37</v>
      </c>
      <c r="P229" s="7">
        <v>100</v>
      </c>
      <c r="Q229" s="7">
        <v>0</v>
      </c>
      <c r="R229" s="21">
        <v>0</v>
      </c>
      <c r="S229" s="21">
        <v>0</v>
      </c>
      <c r="T229" s="21">
        <v>0</v>
      </c>
      <c r="U229" s="21" t="str">
        <f>IFERROR(VLOOKUP(salesHistory[[#This Row],[order_no]],orderHistory[],22,FALSE),"")</f>
        <v>SAMPLING</v>
      </c>
    </row>
    <row r="230" spans="1:21">
      <c r="A230" s="7">
        <v>32</v>
      </c>
      <c r="B230" s="199" t="s">
        <v>106</v>
      </c>
      <c r="C230" s="200" t="s">
        <v>107</v>
      </c>
      <c r="E230" s="72"/>
      <c r="H230" s="7">
        <v>6</v>
      </c>
      <c r="I230" s="7">
        <v>0</v>
      </c>
      <c r="K230" s="7">
        <v>1</v>
      </c>
      <c r="L230" s="7">
        <v>2.625</v>
      </c>
      <c r="M230" s="7">
        <v>3</v>
      </c>
      <c r="N230" s="7">
        <v>0</v>
      </c>
      <c r="O230" s="7" t="s">
        <v>37</v>
      </c>
      <c r="P230" s="7">
        <v>100</v>
      </c>
      <c r="Q230" s="7">
        <v>0</v>
      </c>
      <c r="R230" s="21">
        <v>0</v>
      </c>
      <c r="S230" s="21">
        <v>0</v>
      </c>
      <c r="T230" s="21">
        <v>0</v>
      </c>
      <c r="U230" s="21" t="str">
        <f>IFERROR(VLOOKUP(salesHistory[[#This Row],[order_no]],orderHistory[],22,FALSE),"")</f>
        <v>SAMPLING</v>
      </c>
    </row>
    <row r="231" spans="1:21">
      <c r="A231" s="7">
        <v>32</v>
      </c>
      <c r="B231" s="199" t="s">
        <v>188</v>
      </c>
      <c r="C231" s="200" t="s">
        <v>191</v>
      </c>
      <c r="E231" s="72"/>
      <c r="H231" s="7">
        <v>31</v>
      </c>
      <c r="I231" s="7">
        <v>0</v>
      </c>
      <c r="K231" s="7">
        <v>2</v>
      </c>
      <c r="L231" s="7">
        <v>8.2020833333333325</v>
      </c>
      <c r="M231" s="7">
        <v>9.0416666666666679</v>
      </c>
      <c r="N231" s="7">
        <v>0</v>
      </c>
      <c r="O231" s="7" t="s">
        <v>189</v>
      </c>
      <c r="P231" s="7">
        <v>200</v>
      </c>
      <c r="Q231" s="7" t="s">
        <v>190</v>
      </c>
      <c r="R231" s="21">
        <v>2970</v>
      </c>
      <c r="S231" s="21">
        <v>2.0499999999999998</v>
      </c>
      <c r="T231" s="21">
        <v>63.55</v>
      </c>
      <c r="U231" s="21" t="str">
        <f>IFERROR(VLOOKUP(salesHistory[[#This Row],[order_no]],orderHistory[],22,FALSE),"")</f>
        <v>SAMPLING</v>
      </c>
    </row>
    <row r="232" spans="1:21">
      <c r="A232" s="7">
        <v>32</v>
      </c>
      <c r="B232" s="199" t="s">
        <v>193</v>
      </c>
      <c r="C232" s="200" t="s">
        <v>194</v>
      </c>
      <c r="E232" s="72"/>
      <c r="H232" s="7">
        <v>31</v>
      </c>
      <c r="I232" s="7">
        <v>0</v>
      </c>
      <c r="K232" s="7">
        <v>2</v>
      </c>
      <c r="L232" s="7">
        <v>8.2020833333333325</v>
      </c>
      <c r="M232" s="7">
        <v>9.0416666666666679</v>
      </c>
      <c r="N232" s="7">
        <v>0</v>
      </c>
      <c r="O232" s="7" t="s">
        <v>189</v>
      </c>
      <c r="P232" s="7">
        <v>200</v>
      </c>
      <c r="Q232" s="7" t="s">
        <v>190</v>
      </c>
      <c r="R232" s="21">
        <v>666</v>
      </c>
      <c r="S232" s="21">
        <v>2.0499999999999998</v>
      </c>
      <c r="T232" s="21">
        <v>63.55</v>
      </c>
      <c r="U232" s="21" t="str">
        <f>IFERROR(VLOOKUP(salesHistory[[#This Row],[order_no]],orderHistory[],22,FALSE),"")</f>
        <v>SAMPLING</v>
      </c>
    </row>
    <row r="233" spans="1:21">
      <c r="A233" s="7">
        <v>32</v>
      </c>
      <c r="B233" s="199" t="s">
        <v>195</v>
      </c>
      <c r="C233" s="200" t="s">
        <v>196</v>
      </c>
      <c r="E233" s="72"/>
      <c r="H233" s="7">
        <v>31</v>
      </c>
      <c r="I233" s="7">
        <v>0</v>
      </c>
      <c r="K233" s="7">
        <v>2</v>
      </c>
      <c r="L233" s="7">
        <v>8.2020833333333325</v>
      </c>
      <c r="M233" s="7">
        <v>9.0416666666666679</v>
      </c>
      <c r="N233" s="7">
        <v>0</v>
      </c>
      <c r="O233" s="7" t="s">
        <v>189</v>
      </c>
      <c r="P233" s="7">
        <v>200</v>
      </c>
      <c r="Q233" s="7" t="s">
        <v>190</v>
      </c>
      <c r="R233" s="21">
        <v>422</v>
      </c>
      <c r="S233" s="21">
        <v>2.0499999999999998</v>
      </c>
      <c r="T233" s="21">
        <v>63.55</v>
      </c>
      <c r="U233" s="21" t="str">
        <f>IFERROR(VLOOKUP(salesHistory[[#This Row],[order_no]],orderHistory[],22,FALSE),"")</f>
        <v>SAMPLING</v>
      </c>
    </row>
    <row r="234" spans="1:21">
      <c r="A234" s="439">
        <v>32</v>
      </c>
      <c r="B234" s="440" t="s">
        <v>197</v>
      </c>
      <c r="C234" s="441" t="s">
        <v>198</v>
      </c>
      <c r="D234" s="439"/>
      <c r="E234" s="442"/>
      <c r="F234" s="443"/>
      <c r="G234" s="442"/>
      <c r="H234" s="439">
        <v>31</v>
      </c>
      <c r="I234" s="439">
        <v>0</v>
      </c>
      <c r="J234" s="439"/>
      <c r="K234" s="439">
        <v>2</v>
      </c>
      <c r="L234" s="439">
        <v>8.2020833333333325</v>
      </c>
      <c r="M234" s="439">
        <v>9.0416666666666679</v>
      </c>
      <c r="N234" s="439">
        <v>0</v>
      </c>
      <c r="O234" s="439" t="s">
        <v>189</v>
      </c>
      <c r="P234" s="439">
        <v>200</v>
      </c>
      <c r="Q234" s="439" t="s">
        <v>190</v>
      </c>
      <c r="R234" s="444">
        <v>618</v>
      </c>
      <c r="S234" s="444">
        <v>2.0499999999999998</v>
      </c>
      <c r="T234" s="444">
        <v>63.55</v>
      </c>
      <c r="U234" s="21" t="str">
        <f>IFERROR(VLOOKUP(salesHistory[[#This Row],[order_no]],orderHistory[],22,FALSE),"")</f>
        <v>SAMPLING</v>
      </c>
    </row>
    <row r="235" spans="1:21">
      <c r="A235" s="7">
        <v>34</v>
      </c>
      <c r="B235" s="199" t="s">
        <v>127</v>
      </c>
      <c r="C235" s="200" t="s">
        <v>129</v>
      </c>
      <c r="D235" s="7">
        <v>600</v>
      </c>
      <c r="E235" s="72">
        <v>12.5</v>
      </c>
      <c r="H235" s="7">
        <v>50</v>
      </c>
      <c r="I235" s="7">
        <v>25</v>
      </c>
      <c r="J235" s="7">
        <v>0</v>
      </c>
      <c r="K235" s="7">
        <v>3</v>
      </c>
      <c r="L235" s="7">
        <v>256.75</v>
      </c>
      <c r="M235" s="7">
        <v>268.125</v>
      </c>
      <c r="N235" s="7">
        <v>0.43243749999999997</v>
      </c>
      <c r="O235" s="7" t="s">
        <v>128</v>
      </c>
      <c r="P235" s="7">
        <v>100</v>
      </c>
      <c r="Q235" s="7" t="s">
        <v>75</v>
      </c>
      <c r="R235" s="21">
        <v>11.68</v>
      </c>
      <c r="S235" s="21">
        <v>7592</v>
      </c>
      <c r="T235" s="21">
        <v>7500</v>
      </c>
      <c r="U235" s="21" t="str">
        <f>IFERROR(VLOOKUP(salesHistory[[#This Row],[order_no]],orderHistory[],22,FALSE),"")</f>
        <v>SALE</v>
      </c>
    </row>
    <row r="236" spans="1:21">
      <c r="A236" s="7">
        <v>34</v>
      </c>
      <c r="B236" s="199" t="s">
        <v>130</v>
      </c>
      <c r="C236" s="200" t="s">
        <v>131</v>
      </c>
      <c r="E236" s="72"/>
      <c r="F236" s="195">
        <v>24</v>
      </c>
      <c r="G236" s="72">
        <v>6.25</v>
      </c>
      <c r="H236" s="7"/>
      <c r="I236" s="7">
        <v>1</v>
      </c>
      <c r="J236" s="7">
        <v>1</v>
      </c>
      <c r="K236" s="7">
        <v>0</v>
      </c>
      <c r="L236" s="7">
        <v>9.48</v>
      </c>
      <c r="M236" s="7">
        <v>9.9</v>
      </c>
      <c r="N236" s="7">
        <v>1.72975E-2</v>
      </c>
      <c r="O236" s="7" t="s">
        <v>128</v>
      </c>
      <c r="P236" s="7">
        <v>100</v>
      </c>
      <c r="Q236" s="7" t="s">
        <v>75</v>
      </c>
      <c r="R236" s="21">
        <v>11.68</v>
      </c>
      <c r="S236" s="21">
        <v>280.32</v>
      </c>
      <c r="T236" s="21">
        <v>150</v>
      </c>
      <c r="U236" s="21" t="str">
        <f>IFERROR(VLOOKUP(salesHistory[[#This Row],[order_no]],orderHistory[],22,FALSE),"")</f>
        <v>SALE</v>
      </c>
    </row>
    <row r="237" spans="1:21">
      <c r="A237" s="7">
        <v>34</v>
      </c>
      <c r="B237" s="199" t="s">
        <v>134</v>
      </c>
      <c r="C237" s="200" t="s">
        <v>135</v>
      </c>
      <c r="D237" s="7">
        <v>300</v>
      </c>
      <c r="E237" s="72">
        <v>12.5</v>
      </c>
      <c r="F237" s="195">
        <v>24</v>
      </c>
      <c r="G237" s="72">
        <v>6.25</v>
      </c>
      <c r="H237" s="7">
        <v>25</v>
      </c>
      <c r="I237" s="7">
        <v>14</v>
      </c>
      <c r="J237" s="7">
        <v>1</v>
      </c>
      <c r="K237" s="7">
        <v>2</v>
      </c>
      <c r="L237" s="7">
        <v>137.85499999999999</v>
      </c>
      <c r="M237" s="7">
        <v>143.96250000000001</v>
      </c>
      <c r="N237" s="7">
        <v>0.23351625000000001</v>
      </c>
      <c r="O237" s="7" t="s">
        <v>128</v>
      </c>
      <c r="P237" s="7">
        <v>100</v>
      </c>
      <c r="Q237" s="7" t="s">
        <v>75</v>
      </c>
      <c r="R237" s="21">
        <v>11.68</v>
      </c>
      <c r="S237" s="21">
        <v>4076.3199999999997</v>
      </c>
      <c r="T237" s="21">
        <v>3900</v>
      </c>
      <c r="U237" s="21" t="str">
        <f>IFERROR(VLOOKUP(salesHistory[[#This Row],[order_no]],orderHistory[],22,FALSE),"")</f>
        <v>SALE</v>
      </c>
    </row>
    <row r="238" spans="1:21">
      <c r="A238" s="7">
        <v>34</v>
      </c>
      <c r="B238" s="199" t="s">
        <v>140</v>
      </c>
      <c r="C238" s="200" t="s">
        <v>141</v>
      </c>
      <c r="D238" s="7">
        <v>24</v>
      </c>
      <c r="E238" s="72">
        <v>12.5</v>
      </c>
      <c r="F238" s="195">
        <v>12</v>
      </c>
      <c r="G238" s="72">
        <v>6.25</v>
      </c>
      <c r="H238" s="7">
        <v>2</v>
      </c>
      <c r="I238" s="7">
        <v>2</v>
      </c>
      <c r="J238" s="7">
        <v>1</v>
      </c>
      <c r="K238" s="7">
        <v>1</v>
      </c>
      <c r="L238" s="7">
        <v>14.439999999999998</v>
      </c>
      <c r="M238" s="7">
        <v>15.041666666666666</v>
      </c>
      <c r="N238" s="7">
        <v>2.6296875000000001E-2</v>
      </c>
      <c r="O238" s="7" t="s">
        <v>128</v>
      </c>
      <c r="P238" s="7">
        <v>100</v>
      </c>
      <c r="Q238" s="7" t="s">
        <v>75</v>
      </c>
      <c r="R238" s="21">
        <v>11.68</v>
      </c>
      <c r="S238" s="21">
        <v>443.84</v>
      </c>
      <c r="T238" s="21">
        <v>375</v>
      </c>
      <c r="U238" s="21" t="str">
        <f>IFERROR(VLOOKUP(salesHistory[[#This Row],[order_no]],orderHistory[],22,FALSE),"")</f>
        <v>SALE</v>
      </c>
    </row>
    <row r="239" spans="1:21">
      <c r="A239" s="439">
        <v>34</v>
      </c>
      <c r="B239" s="440" t="s">
        <v>142</v>
      </c>
      <c r="C239" s="441" t="s">
        <v>143</v>
      </c>
      <c r="D239" s="439">
        <v>72</v>
      </c>
      <c r="E239" s="442">
        <v>12.5</v>
      </c>
      <c r="F239" s="443"/>
      <c r="G239" s="442"/>
      <c r="H239" s="439">
        <v>6</v>
      </c>
      <c r="I239" s="439">
        <v>3</v>
      </c>
      <c r="J239" s="439">
        <v>0</v>
      </c>
      <c r="K239" s="439">
        <v>1</v>
      </c>
      <c r="L239" s="439">
        <v>29.639999999999997</v>
      </c>
      <c r="M239" s="439">
        <v>30.875</v>
      </c>
      <c r="N239" s="439">
        <v>5.2593750000000002E-2</v>
      </c>
      <c r="O239" s="439" t="s">
        <v>128</v>
      </c>
      <c r="P239" s="439">
        <v>100</v>
      </c>
      <c r="Q239" s="439" t="s">
        <v>75</v>
      </c>
      <c r="R239" s="444">
        <v>11.68</v>
      </c>
      <c r="S239" s="444">
        <v>911.04</v>
      </c>
      <c r="T239" s="444">
        <v>900</v>
      </c>
      <c r="U239" s="21" t="str">
        <f>IFERROR(VLOOKUP(salesHistory[[#This Row],[order_no]],orderHistory[],22,FALSE),"")</f>
        <v>SALE</v>
      </c>
    </row>
    <row r="240" spans="1:21">
      <c r="A240" s="7">
        <v>35</v>
      </c>
      <c r="B240" s="199" t="s">
        <v>111</v>
      </c>
      <c r="C240" s="200" t="s">
        <v>112</v>
      </c>
      <c r="D240" s="7">
        <v>720</v>
      </c>
      <c r="E240" s="72">
        <v>5.79</v>
      </c>
      <c r="H240" s="7">
        <v>72</v>
      </c>
      <c r="I240" s="7">
        <v>30</v>
      </c>
      <c r="J240" s="7">
        <v>0</v>
      </c>
      <c r="K240" s="7">
        <v>3</v>
      </c>
      <c r="L240" s="7">
        <v>248.16</v>
      </c>
      <c r="M240" s="7">
        <v>271.59000000000003</v>
      </c>
      <c r="N240" s="7">
        <v>0.67337999999999998</v>
      </c>
      <c r="O240" s="7" t="s">
        <v>74</v>
      </c>
      <c r="P240" s="7">
        <v>100</v>
      </c>
      <c r="Q240" s="7" t="s">
        <v>75</v>
      </c>
      <c r="R240" s="21">
        <v>5</v>
      </c>
      <c r="S240" s="21">
        <v>3960</v>
      </c>
      <c r="T240" s="21">
        <v>4168.8</v>
      </c>
      <c r="U240" s="21" t="str">
        <f>IFERROR(VLOOKUP(salesHistory[[#This Row],[order_no]],orderHistory[],22,FALSE),"")</f>
        <v>SALE</v>
      </c>
    </row>
    <row r="241" spans="1:21">
      <c r="A241" s="7">
        <v>35</v>
      </c>
      <c r="B241" s="199" t="s">
        <v>113</v>
      </c>
      <c r="C241" s="200" t="s">
        <v>114</v>
      </c>
      <c r="D241" s="7">
        <v>1200</v>
      </c>
      <c r="E241" s="72">
        <v>5.79</v>
      </c>
      <c r="H241" s="7">
        <v>120</v>
      </c>
      <c r="I241" s="7">
        <v>50</v>
      </c>
      <c r="J241" s="7">
        <v>0</v>
      </c>
      <c r="K241" s="7">
        <v>5</v>
      </c>
      <c r="L241" s="7">
        <v>413.59999999999997</v>
      </c>
      <c r="M241" s="7">
        <v>452.65000000000003</v>
      </c>
      <c r="N241" s="7">
        <v>1.1223000000000001</v>
      </c>
      <c r="O241" s="7" t="s">
        <v>74</v>
      </c>
      <c r="P241" s="7">
        <v>100</v>
      </c>
      <c r="Q241" s="7" t="s">
        <v>75</v>
      </c>
      <c r="R241" s="21">
        <v>5</v>
      </c>
      <c r="S241" s="21">
        <v>6600</v>
      </c>
      <c r="T241" s="21">
        <v>6948</v>
      </c>
      <c r="U241" s="21" t="str">
        <f>IFERROR(VLOOKUP(salesHistory[[#This Row],[order_no]],orderHistory[],22,FALSE),"")</f>
        <v>SALE</v>
      </c>
    </row>
    <row r="242" spans="1:21">
      <c r="A242" s="7">
        <v>35</v>
      </c>
      <c r="B242" s="199" t="s">
        <v>115</v>
      </c>
      <c r="C242" s="200" t="s">
        <v>116</v>
      </c>
      <c r="D242" s="7">
        <v>720</v>
      </c>
      <c r="E242" s="72">
        <v>5.79</v>
      </c>
      <c r="H242" s="7">
        <v>72</v>
      </c>
      <c r="I242" s="7">
        <v>30</v>
      </c>
      <c r="J242" s="7">
        <v>0</v>
      </c>
      <c r="K242" s="7">
        <v>3</v>
      </c>
      <c r="L242" s="7">
        <v>248.16</v>
      </c>
      <c r="M242" s="7">
        <v>271.59000000000003</v>
      </c>
      <c r="N242" s="7">
        <v>0.67337999999999998</v>
      </c>
      <c r="O242" s="7" t="s">
        <v>74</v>
      </c>
      <c r="P242" s="7">
        <v>100</v>
      </c>
      <c r="Q242" s="7" t="s">
        <v>75</v>
      </c>
      <c r="R242" s="21">
        <v>5</v>
      </c>
      <c r="S242" s="21">
        <v>3960</v>
      </c>
      <c r="T242" s="21">
        <v>4168.8</v>
      </c>
      <c r="U242" s="21" t="str">
        <f>IFERROR(VLOOKUP(salesHistory[[#This Row],[order_no]],orderHistory[],22,FALSE),"")</f>
        <v>SALE</v>
      </c>
    </row>
    <row r="243" spans="1:21">
      <c r="A243" s="7">
        <v>35</v>
      </c>
      <c r="B243" s="199" t="s">
        <v>117</v>
      </c>
      <c r="C243" s="200" t="s">
        <v>118</v>
      </c>
      <c r="D243" s="7">
        <v>1200</v>
      </c>
      <c r="E243" s="72">
        <v>5.79</v>
      </c>
      <c r="H243" s="7">
        <v>120</v>
      </c>
      <c r="I243" s="7">
        <v>50</v>
      </c>
      <c r="J243" s="7">
        <v>0</v>
      </c>
      <c r="K243" s="7">
        <v>5</v>
      </c>
      <c r="L243" s="7">
        <v>413.59999999999997</v>
      </c>
      <c r="M243" s="7">
        <v>452.65000000000003</v>
      </c>
      <c r="N243" s="7">
        <v>1.1223000000000001</v>
      </c>
      <c r="O243" s="7" t="s">
        <v>74</v>
      </c>
      <c r="P243" s="7">
        <v>100</v>
      </c>
      <c r="Q243" s="7" t="s">
        <v>75</v>
      </c>
      <c r="R243" s="21">
        <v>5</v>
      </c>
      <c r="S243" s="21">
        <v>6600</v>
      </c>
      <c r="T243" s="21">
        <v>6948</v>
      </c>
      <c r="U243" s="21" t="str">
        <f>IFERROR(VLOOKUP(salesHistory[[#This Row],[order_no]],orderHistory[],22,FALSE),"")</f>
        <v>SALE</v>
      </c>
    </row>
    <row r="244" spans="1:21">
      <c r="A244" s="7">
        <v>35</v>
      </c>
      <c r="B244" s="199" t="s">
        <v>119</v>
      </c>
      <c r="C244" s="200" t="s">
        <v>120</v>
      </c>
      <c r="D244" s="7">
        <v>600</v>
      </c>
      <c r="E244" s="72">
        <v>5.79</v>
      </c>
      <c r="H244" s="7">
        <v>60</v>
      </c>
      <c r="I244" s="7">
        <v>25</v>
      </c>
      <c r="J244" s="7">
        <v>0</v>
      </c>
      <c r="K244" s="7">
        <v>3</v>
      </c>
      <c r="L244" s="7">
        <v>188.92500000000001</v>
      </c>
      <c r="M244" s="7">
        <v>207.89999999999998</v>
      </c>
      <c r="N244" s="7">
        <v>0.62887499999999996</v>
      </c>
      <c r="O244" s="7" t="s">
        <v>74</v>
      </c>
      <c r="P244" s="7">
        <v>100</v>
      </c>
      <c r="Q244" s="7" t="s">
        <v>75</v>
      </c>
      <c r="R244" s="21">
        <v>5</v>
      </c>
      <c r="S244" s="21">
        <v>3300</v>
      </c>
      <c r="T244" s="21">
        <v>3474</v>
      </c>
      <c r="U244" s="21" t="str">
        <f>IFERROR(VLOOKUP(salesHistory[[#This Row],[order_no]],orderHistory[],22,FALSE),"")</f>
        <v>SALE</v>
      </c>
    </row>
    <row r="245" spans="1:21">
      <c r="A245" s="7">
        <v>35</v>
      </c>
      <c r="B245" s="199" t="s">
        <v>121</v>
      </c>
      <c r="C245" s="200" t="s">
        <v>122</v>
      </c>
      <c r="D245" s="7">
        <v>720</v>
      </c>
      <c r="E245" s="72">
        <v>5.79</v>
      </c>
      <c r="H245" s="7">
        <v>72</v>
      </c>
      <c r="I245" s="7">
        <v>30</v>
      </c>
      <c r="J245" s="7">
        <v>0</v>
      </c>
      <c r="K245" s="7">
        <v>3</v>
      </c>
      <c r="L245" s="7">
        <v>226.71</v>
      </c>
      <c r="M245" s="7">
        <v>249.48</v>
      </c>
      <c r="N245" s="7">
        <v>0.75465000000000004</v>
      </c>
      <c r="O245" s="7" t="s">
        <v>74</v>
      </c>
      <c r="P245" s="7">
        <v>100</v>
      </c>
      <c r="Q245" s="7" t="s">
        <v>75</v>
      </c>
      <c r="R245" s="21">
        <v>5</v>
      </c>
      <c r="S245" s="21">
        <v>3960</v>
      </c>
      <c r="T245" s="21">
        <v>4168.8</v>
      </c>
      <c r="U245" s="21" t="str">
        <f>IFERROR(VLOOKUP(salesHistory[[#This Row],[order_no]],orderHistory[],22,FALSE),"")</f>
        <v>SALE</v>
      </c>
    </row>
    <row r="246" spans="1:21">
      <c r="A246" s="7">
        <v>35</v>
      </c>
      <c r="B246" s="199" t="s">
        <v>123</v>
      </c>
      <c r="C246" s="200" t="s">
        <v>124</v>
      </c>
      <c r="D246" s="7">
        <v>600</v>
      </c>
      <c r="E246" s="72">
        <v>5.79</v>
      </c>
      <c r="H246" s="7">
        <v>60</v>
      </c>
      <c r="I246" s="7">
        <v>25</v>
      </c>
      <c r="J246" s="7">
        <v>0</v>
      </c>
      <c r="K246" s="7">
        <v>3</v>
      </c>
      <c r="L246" s="7">
        <v>188.92500000000001</v>
      </c>
      <c r="M246" s="7">
        <v>207.89999999999998</v>
      </c>
      <c r="N246" s="7">
        <v>0.62887499999999996</v>
      </c>
      <c r="O246" s="7" t="s">
        <v>74</v>
      </c>
      <c r="P246" s="7">
        <v>100</v>
      </c>
      <c r="Q246" s="7" t="s">
        <v>75</v>
      </c>
      <c r="R246" s="21">
        <v>5</v>
      </c>
      <c r="S246" s="21">
        <v>3300</v>
      </c>
      <c r="T246" s="21">
        <v>3474</v>
      </c>
      <c r="U246" s="21" t="str">
        <f>IFERROR(VLOOKUP(salesHistory[[#This Row],[order_no]],orderHistory[],22,FALSE),"")</f>
        <v>SALE</v>
      </c>
    </row>
    <row r="247" spans="1:21">
      <c r="A247" s="7">
        <v>35</v>
      </c>
      <c r="B247" s="199" t="s">
        <v>125</v>
      </c>
      <c r="C247" s="200" t="s">
        <v>126</v>
      </c>
      <c r="D247" s="7">
        <v>720</v>
      </c>
      <c r="E247" s="72">
        <v>5.79</v>
      </c>
      <c r="H247" s="7">
        <v>72</v>
      </c>
      <c r="I247" s="7">
        <v>30</v>
      </c>
      <c r="J247" s="7">
        <v>0</v>
      </c>
      <c r="K247" s="7">
        <v>3</v>
      </c>
      <c r="L247" s="7">
        <v>226.71</v>
      </c>
      <c r="M247" s="7">
        <v>249.48</v>
      </c>
      <c r="N247" s="7">
        <v>0.75465000000000004</v>
      </c>
      <c r="O247" s="7" t="s">
        <v>74</v>
      </c>
      <c r="P247" s="7">
        <v>100</v>
      </c>
      <c r="Q247" s="7" t="s">
        <v>75</v>
      </c>
      <c r="R247" s="21">
        <v>5</v>
      </c>
      <c r="S247" s="21">
        <v>3960</v>
      </c>
      <c r="T247" s="21">
        <v>4168.8</v>
      </c>
      <c r="U247" s="21" t="str">
        <f>IFERROR(VLOOKUP(salesHistory[[#This Row],[order_no]],orderHistory[],22,FALSE),"")</f>
        <v>SALE</v>
      </c>
    </row>
    <row r="248" spans="1:21">
      <c r="A248" s="7">
        <v>35</v>
      </c>
      <c r="B248" s="199" t="s">
        <v>36</v>
      </c>
      <c r="C248" s="200" t="s">
        <v>39</v>
      </c>
      <c r="D248" s="7">
        <v>1440</v>
      </c>
      <c r="E248" s="72">
        <v>5.79</v>
      </c>
      <c r="H248" s="7"/>
      <c r="I248" s="7">
        <v>120</v>
      </c>
      <c r="J248" s="7">
        <v>0</v>
      </c>
      <c r="K248" s="7">
        <v>0</v>
      </c>
      <c r="L248" s="7">
        <v>604.79999999999995</v>
      </c>
      <c r="M248" s="7">
        <v>694.8</v>
      </c>
      <c r="N248" s="7">
        <v>3.3699599999999998</v>
      </c>
      <c r="O248" s="7" t="s">
        <v>37</v>
      </c>
      <c r="P248" s="7">
        <v>50</v>
      </c>
      <c r="Q248" s="7">
        <v>0</v>
      </c>
      <c r="R248" s="21">
        <v>5.23</v>
      </c>
      <c r="S248" s="21">
        <v>7531.2000000000007</v>
      </c>
      <c r="T248" s="21">
        <v>8337.6</v>
      </c>
      <c r="U248" s="21" t="str">
        <f>IFERROR(VLOOKUP(salesHistory[[#This Row],[order_no]],orderHistory[],22,FALSE),"")</f>
        <v>SALE</v>
      </c>
    </row>
    <row r="249" spans="1:21">
      <c r="A249" s="7">
        <v>35</v>
      </c>
      <c r="B249" s="199" t="s">
        <v>42</v>
      </c>
      <c r="C249" s="200" t="s">
        <v>43</v>
      </c>
      <c r="D249" s="7">
        <v>1440</v>
      </c>
      <c r="E249" s="72">
        <v>5.79</v>
      </c>
      <c r="H249" s="7"/>
      <c r="I249" s="7">
        <v>120</v>
      </c>
      <c r="J249" s="7">
        <v>0</v>
      </c>
      <c r="K249" s="7">
        <v>0</v>
      </c>
      <c r="L249" s="7">
        <v>604.79999999999995</v>
      </c>
      <c r="M249" s="7">
        <v>694.8</v>
      </c>
      <c r="N249" s="7">
        <v>3.3699599999999998</v>
      </c>
      <c r="O249" s="7" t="s">
        <v>37</v>
      </c>
      <c r="P249" s="7">
        <v>50</v>
      </c>
      <c r="Q249" s="7">
        <v>0</v>
      </c>
      <c r="R249" s="21">
        <v>5.23</v>
      </c>
      <c r="S249" s="21">
        <v>7531.2000000000007</v>
      </c>
      <c r="T249" s="21">
        <v>8337.6</v>
      </c>
      <c r="U249" s="21" t="str">
        <f>IFERROR(VLOOKUP(salesHistory[[#This Row],[order_no]],orderHistory[],22,FALSE),"")</f>
        <v>SALE</v>
      </c>
    </row>
    <row r="250" spans="1:21">
      <c r="A250" s="7">
        <v>35</v>
      </c>
      <c r="B250" s="199" t="s">
        <v>44</v>
      </c>
      <c r="C250" s="200" t="s">
        <v>45</v>
      </c>
      <c r="D250" s="7">
        <v>1440</v>
      </c>
      <c r="E250" s="72">
        <v>5.79</v>
      </c>
      <c r="H250" s="7"/>
      <c r="I250" s="7">
        <v>120</v>
      </c>
      <c r="J250" s="7">
        <v>0</v>
      </c>
      <c r="K250" s="7">
        <v>0</v>
      </c>
      <c r="L250" s="7">
        <v>604.79999999999995</v>
      </c>
      <c r="M250" s="7">
        <v>694.8</v>
      </c>
      <c r="N250" s="7">
        <v>3.3699599999999998</v>
      </c>
      <c r="O250" s="7" t="s">
        <v>37</v>
      </c>
      <c r="P250" s="7">
        <v>50</v>
      </c>
      <c r="Q250" s="7">
        <v>0</v>
      </c>
      <c r="R250" s="21">
        <v>5.23</v>
      </c>
      <c r="S250" s="21">
        <v>7531.2000000000007</v>
      </c>
      <c r="T250" s="21">
        <v>8337.6</v>
      </c>
      <c r="U250" s="21" t="str">
        <f>IFERROR(VLOOKUP(salesHistory[[#This Row],[order_no]],orderHistory[],22,FALSE),"")</f>
        <v>SALE</v>
      </c>
    </row>
    <row r="251" spans="1:21">
      <c r="A251" s="7">
        <v>35</v>
      </c>
      <c r="B251" s="199" t="s">
        <v>46</v>
      </c>
      <c r="C251" s="200" t="s">
        <v>47</v>
      </c>
      <c r="D251" s="7">
        <v>1440</v>
      </c>
      <c r="E251" s="72">
        <v>5.79</v>
      </c>
      <c r="H251" s="7"/>
      <c r="I251" s="7">
        <v>120</v>
      </c>
      <c r="J251" s="7">
        <v>0</v>
      </c>
      <c r="K251" s="7">
        <v>0</v>
      </c>
      <c r="L251" s="7">
        <v>604.79999999999995</v>
      </c>
      <c r="M251" s="7">
        <v>694.8</v>
      </c>
      <c r="N251" s="7">
        <v>3.3699599999999998</v>
      </c>
      <c r="O251" s="7" t="s">
        <v>37</v>
      </c>
      <c r="P251" s="7">
        <v>50</v>
      </c>
      <c r="Q251" s="7">
        <v>0</v>
      </c>
      <c r="R251" s="21">
        <v>5.23</v>
      </c>
      <c r="S251" s="21">
        <v>7531.2000000000007</v>
      </c>
      <c r="T251" s="21">
        <v>8337.6</v>
      </c>
      <c r="U251" s="21" t="str">
        <f>IFERROR(VLOOKUP(salesHistory[[#This Row],[order_no]],orderHistory[],22,FALSE),"")</f>
        <v>SALE</v>
      </c>
    </row>
    <row r="252" spans="1:21">
      <c r="A252" s="7">
        <v>35</v>
      </c>
      <c r="B252" s="199" t="s">
        <v>48</v>
      </c>
      <c r="C252" s="200" t="s">
        <v>50</v>
      </c>
      <c r="D252" s="7">
        <v>1200</v>
      </c>
      <c r="E252" s="72">
        <v>5.79</v>
      </c>
      <c r="H252" s="7"/>
      <c r="I252" s="7">
        <v>100</v>
      </c>
      <c r="J252" s="7">
        <v>0</v>
      </c>
      <c r="K252" s="7">
        <v>0</v>
      </c>
      <c r="L252" s="7">
        <v>478</v>
      </c>
      <c r="M252" s="7">
        <v>525</v>
      </c>
      <c r="N252" s="7">
        <v>2.8083</v>
      </c>
      <c r="O252" s="7" t="s">
        <v>37</v>
      </c>
      <c r="P252" s="7">
        <v>50</v>
      </c>
      <c r="Q252" s="7">
        <v>0</v>
      </c>
      <c r="R252" s="21">
        <v>5.23</v>
      </c>
      <c r="S252" s="21">
        <v>6276.0000000000009</v>
      </c>
      <c r="T252" s="21">
        <v>6948</v>
      </c>
      <c r="U252" s="21" t="str">
        <f>IFERROR(VLOOKUP(salesHistory[[#This Row],[order_no]],orderHistory[],22,FALSE),"")</f>
        <v>SALE</v>
      </c>
    </row>
    <row r="253" spans="1:21">
      <c r="A253" s="7">
        <v>35</v>
      </c>
      <c r="B253" s="199" t="s">
        <v>51</v>
      </c>
      <c r="C253" s="200" t="s">
        <v>52</v>
      </c>
      <c r="D253" s="7">
        <v>1200</v>
      </c>
      <c r="E253" s="72">
        <v>5.79</v>
      </c>
      <c r="H253" s="7"/>
      <c r="I253" s="7">
        <v>100</v>
      </c>
      <c r="J253" s="7">
        <v>0</v>
      </c>
      <c r="K253" s="7">
        <v>0</v>
      </c>
      <c r="L253" s="7">
        <v>478</v>
      </c>
      <c r="M253" s="7">
        <v>525</v>
      </c>
      <c r="N253" s="7">
        <v>2.8083</v>
      </c>
      <c r="O253" s="7" t="s">
        <v>37</v>
      </c>
      <c r="P253" s="7">
        <v>50</v>
      </c>
      <c r="Q253" s="7">
        <v>0</v>
      </c>
      <c r="R253" s="21">
        <v>5.23</v>
      </c>
      <c r="S253" s="21">
        <v>6276.0000000000009</v>
      </c>
      <c r="T253" s="21">
        <v>6948</v>
      </c>
      <c r="U253" s="21" t="str">
        <f>IFERROR(VLOOKUP(salesHistory[[#This Row],[order_no]],orderHistory[],22,FALSE),"")</f>
        <v>SALE</v>
      </c>
    </row>
    <row r="254" spans="1:21">
      <c r="A254" s="7">
        <v>35</v>
      </c>
      <c r="B254" s="199" t="s">
        <v>53</v>
      </c>
      <c r="C254" s="200" t="s">
        <v>54</v>
      </c>
      <c r="D254" s="7">
        <v>1200</v>
      </c>
      <c r="E254" s="72">
        <v>5.79</v>
      </c>
      <c r="H254" s="7"/>
      <c r="I254" s="7">
        <v>100</v>
      </c>
      <c r="J254" s="7">
        <v>0</v>
      </c>
      <c r="K254" s="7">
        <v>0</v>
      </c>
      <c r="L254" s="7">
        <v>478</v>
      </c>
      <c r="M254" s="7">
        <v>525</v>
      </c>
      <c r="N254" s="7">
        <v>2.8083</v>
      </c>
      <c r="O254" s="7" t="s">
        <v>37</v>
      </c>
      <c r="P254" s="7">
        <v>50</v>
      </c>
      <c r="Q254" s="7">
        <v>0</v>
      </c>
      <c r="R254" s="21">
        <v>5.23</v>
      </c>
      <c r="S254" s="21">
        <v>6276.0000000000009</v>
      </c>
      <c r="T254" s="21">
        <v>6948</v>
      </c>
      <c r="U254" s="21" t="str">
        <f>IFERROR(VLOOKUP(salesHistory[[#This Row],[order_no]],orderHistory[],22,FALSE),"")</f>
        <v>SALE</v>
      </c>
    </row>
    <row r="255" spans="1:21">
      <c r="A255" s="439">
        <v>35</v>
      </c>
      <c r="B255" s="440" t="s">
        <v>55</v>
      </c>
      <c r="C255" s="441" t="s">
        <v>56</v>
      </c>
      <c r="D255" s="439">
        <v>1200</v>
      </c>
      <c r="E255" s="442">
        <v>5.79</v>
      </c>
      <c r="F255" s="443"/>
      <c r="G255" s="442"/>
      <c r="H255" s="439"/>
      <c r="I255" s="439">
        <v>100</v>
      </c>
      <c r="J255" s="439">
        <v>0</v>
      </c>
      <c r="K255" s="439">
        <v>0</v>
      </c>
      <c r="L255" s="439">
        <v>478</v>
      </c>
      <c r="M255" s="439">
        <v>525</v>
      </c>
      <c r="N255" s="439">
        <v>2.8083</v>
      </c>
      <c r="O255" s="439" t="s">
        <v>37</v>
      </c>
      <c r="P255" s="439">
        <v>50</v>
      </c>
      <c r="Q255" s="439">
        <v>0</v>
      </c>
      <c r="R255" s="444">
        <v>5.23</v>
      </c>
      <c r="S255" s="444">
        <v>6276.0000000000009</v>
      </c>
      <c r="T255" s="444">
        <v>6948</v>
      </c>
      <c r="U255" s="444" t="str">
        <f>IFERROR(VLOOKUP(salesHistory[[#This Row],[order_no]],orderHistory[],22,FALSE),"")</f>
        <v>SALE</v>
      </c>
    </row>
    <row r="256" spans="1:21">
      <c r="A256" s="7">
        <v>37</v>
      </c>
      <c r="B256" s="199" t="s">
        <v>111</v>
      </c>
      <c r="C256" s="200" t="s">
        <v>112</v>
      </c>
      <c r="D256" s="7">
        <v>700</v>
      </c>
      <c r="E256" s="72">
        <v>5.2533300000000001</v>
      </c>
      <c r="H256" s="7"/>
      <c r="I256" s="7">
        <v>30</v>
      </c>
      <c r="J256" s="7">
        <v>0</v>
      </c>
      <c r="K256" s="7">
        <v>0</v>
      </c>
      <c r="L256" s="7">
        <v>219.33333333333334</v>
      </c>
      <c r="M256" s="7">
        <v>240.04166666666669</v>
      </c>
      <c r="N256" s="7">
        <v>0.65467500000000012</v>
      </c>
      <c r="O256" s="7" t="s">
        <v>74</v>
      </c>
      <c r="P256" s="7">
        <v>100</v>
      </c>
      <c r="Q256" s="7" t="s">
        <v>75</v>
      </c>
      <c r="R256" s="21">
        <v>5</v>
      </c>
      <c r="S256" s="21">
        <v>3500</v>
      </c>
      <c r="T256" s="21">
        <v>3677.3310000000001</v>
      </c>
      <c r="U256" s="21" t="str">
        <f>IFERROR(VLOOKUP(salesHistory[[#This Row],[order_no]],orderHistory[],22,FALSE),"")</f>
        <v>SALE</v>
      </c>
    </row>
    <row r="257" spans="1:21">
      <c r="A257" s="7">
        <v>37</v>
      </c>
      <c r="B257" s="199" t="s">
        <v>113</v>
      </c>
      <c r="C257" s="200" t="s">
        <v>114</v>
      </c>
      <c r="D257" s="7">
        <v>750</v>
      </c>
      <c r="E257" s="72">
        <v>5.2533300000000001</v>
      </c>
      <c r="H257" s="7"/>
      <c r="I257" s="7">
        <v>32</v>
      </c>
      <c r="J257" s="7">
        <v>0</v>
      </c>
      <c r="K257" s="7">
        <v>0</v>
      </c>
      <c r="L257" s="7">
        <v>235</v>
      </c>
      <c r="M257" s="7">
        <v>257.1875</v>
      </c>
      <c r="N257" s="7">
        <v>0.70143750000000005</v>
      </c>
      <c r="O257" s="7" t="s">
        <v>74</v>
      </c>
      <c r="P257" s="7">
        <v>100</v>
      </c>
      <c r="Q257" s="7" t="s">
        <v>75</v>
      </c>
      <c r="R257" s="21">
        <v>5</v>
      </c>
      <c r="S257" s="21">
        <v>3750</v>
      </c>
      <c r="T257" s="21">
        <v>3939.9974999999999</v>
      </c>
      <c r="U257" s="21" t="str">
        <f>IFERROR(VLOOKUP(salesHistory[[#This Row],[order_no]],orderHistory[],22,FALSE),"")</f>
        <v>SALE</v>
      </c>
    </row>
    <row r="258" spans="1:21">
      <c r="A258" s="439">
        <v>37</v>
      </c>
      <c r="B258" s="440" t="s">
        <v>117</v>
      </c>
      <c r="C258" s="441" t="s">
        <v>118</v>
      </c>
      <c r="D258" s="439">
        <v>300</v>
      </c>
      <c r="E258" s="442">
        <v>5.2533300000000001</v>
      </c>
      <c r="F258" s="443"/>
      <c r="G258" s="442"/>
      <c r="H258" s="439"/>
      <c r="I258" s="439">
        <v>13</v>
      </c>
      <c r="J258" s="439">
        <v>0</v>
      </c>
      <c r="K258" s="439">
        <v>0</v>
      </c>
      <c r="L258" s="439">
        <v>94</v>
      </c>
      <c r="M258" s="439">
        <v>102.875</v>
      </c>
      <c r="N258" s="439">
        <v>0.28057500000000002</v>
      </c>
      <c r="O258" s="439" t="s">
        <v>74</v>
      </c>
      <c r="P258" s="439">
        <v>100</v>
      </c>
      <c r="Q258" s="439" t="s">
        <v>75</v>
      </c>
      <c r="R258" s="444">
        <v>5</v>
      </c>
      <c r="S258" s="444">
        <v>1500</v>
      </c>
      <c r="T258" s="444">
        <v>1575.999</v>
      </c>
      <c r="U258" s="21" t="str">
        <f>IFERROR(VLOOKUP(salesHistory[[#This Row],[order_no]],orderHistory[],22,FALSE),"")</f>
        <v>SALE</v>
      </c>
    </row>
    <row r="259" spans="1:21">
      <c r="A259" s="7">
        <v>38</v>
      </c>
      <c r="B259" s="199" t="s">
        <v>1012</v>
      </c>
      <c r="C259" s="200" t="s">
        <v>1050</v>
      </c>
      <c r="D259" s="7">
        <v>30</v>
      </c>
      <c r="E259" s="72">
        <v>13.11</v>
      </c>
      <c r="H259" s="7"/>
      <c r="I259" s="7" t="s">
        <v>1142</v>
      </c>
      <c r="J259" s="7" t="s">
        <v>1142</v>
      </c>
      <c r="K259" s="7" t="s">
        <v>1142</v>
      </c>
      <c r="L259" s="7" t="s">
        <v>1142</v>
      </c>
      <c r="M259" s="7" t="s">
        <v>1142</v>
      </c>
      <c r="N259" s="7" t="s">
        <v>1142</v>
      </c>
      <c r="O259" s="7" t="s">
        <v>1159</v>
      </c>
      <c r="P259" s="7">
        <v>0</v>
      </c>
      <c r="Q259" s="7">
        <v>0</v>
      </c>
      <c r="R259" s="21" t="s">
        <v>1142</v>
      </c>
      <c r="S259" s="21" t="s">
        <v>1142</v>
      </c>
      <c r="T259" s="21">
        <v>393.29999999999995</v>
      </c>
      <c r="U259" s="21" t="str">
        <f>IFERROR(VLOOKUP(salesHistory[[#This Row],[order_no]],orderHistory[],22,FALSE),"")</f>
        <v>SALE</v>
      </c>
    </row>
    <row r="260" spans="1:21">
      <c r="A260" s="7">
        <v>38</v>
      </c>
      <c r="B260" s="199" t="s">
        <v>1013</v>
      </c>
      <c r="C260" s="200" t="s">
        <v>1051</v>
      </c>
      <c r="D260" s="7">
        <v>30</v>
      </c>
      <c r="E260" s="72">
        <v>13.11</v>
      </c>
      <c r="H260" s="7"/>
      <c r="I260" s="7" t="s">
        <v>1142</v>
      </c>
      <c r="J260" s="7" t="s">
        <v>1142</v>
      </c>
      <c r="K260" s="7" t="s">
        <v>1142</v>
      </c>
      <c r="L260" s="7" t="s">
        <v>1142</v>
      </c>
      <c r="M260" s="7" t="s">
        <v>1142</v>
      </c>
      <c r="N260" s="7" t="s">
        <v>1142</v>
      </c>
      <c r="O260" s="7" t="s">
        <v>1159</v>
      </c>
      <c r="P260" s="7">
        <v>0</v>
      </c>
      <c r="Q260" s="7">
        <v>0</v>
      </c>
      <c r="R260" s="21" t="s">
        <v>1142</v>
      </c>
      <c r="S260" s="21" t="s">
        <v>1142</v>
      </c>
      <c r="T260" s="21">
        <v>393.29999999999995</v>
      </c>
      <c r="U260" s="21" t="str">
        <f>IFERROR(VLOOKUP(salesHistory[[#This Row],[order_no]],orderHistory[],22,FALSE),"")</f>
        <v>SALE</v>
      </c>
    </row>
    <row r="261" spans="1:21">
      <c r="A261" s="7">
        <v>38</v>
      </c>
      <c r="B261" s="199" t="s">
        <v>1014</v>
      </c>
      <c r="C261" s="200" t="s">
        <v>1052</v>
      </c>
      <c r="D261" s="7">
        <v>30</v>
      </c>
      <c r="E261" s="72">
        <v>13.11</v>
      </c>
      <c r="H261" s="7"/>
      <c r="I261" s="7" t="s">
        <v>1142</v>
      </c>
      <c r="J261" s="7" t="s">
        <v>1142</v>
      </c>
      <c r="K261" s="7" t="s">
        <v>1142</v>
      </c>
      <c r="L261" s="7" t="s">
        <v>1142</v>
      </c>
      <c r="M261" s="7" t="s">
        <v>1142</v>
      </c>
      <c r="N261" s="7" t="s">
        <v>1142</v>
      </c>
      <c r="O261" s="7" t="s">
        <v>1159</v>
      </c>
      <c r="P261" s="7">
        <v>0</v>
      </c>
      <c r="Q261" s="7">
        <v>0</v>
      </c>
      <c r="R261" s="21" t="s">
        <v>1142</v>
      </c>
      <c r="S261" s="21" t="s">
        <v>1142</v>
      </c>
      <c r="T261" s="21">
        <v>393.29999999999995</v>
      </c>
      <c r="U261" s="21" t="str">
        <f>IFERROR(VLOOKUP(salesHistory[[#This Row],[order_no]],orderHistory[],22,FALSE),"")</f>
        <v>SALE</v>
      </c>
    </row>
    <row r="262" spans="1:21">
      <c r="A262" s="7">
        <v>38</v>
      </c>
      <c r="B262" s="199" t="s">
        <v>1016</v>
      </c>
      <c r="C262" s="200" t="s">
        <v>1054</v>
      </c>
      <c r="D262" s="7">
        <v>30</v>
      </c>
      <c r="E262" s="72">
        <v>13.11</v>
      </c>
      <c r="H262" s="7"/>
      <c r="I262" s="7" t="s">
        <v>1142</v>
      </c>
      <c r="J262" s="7" t="s">
        <v>1142</v>
      </c>
      <c r="K262" s="7" t="s">
        <v>1142</v>
      </c>
      <c r="L262" s="7" t="s">
        <v>1142</v>
      </c>
      <c r="M262" s="7" t="s">
        <v>1142</v>
      </c>
      <c r="N262" s="7" t="s">
        <v>1142</v>
      </c>
      <c r="O262" s="7" t="s">
        <v>1159</v>
      </c>
      <c r="P262" s="7">
        <v>0</v>
      </c>
      <c r="Q262" s="7">
        <v>0</v>
      </c>
      <c r="R262" s="21" t="s">
        <v>1142</v>
      </c>
      <c r="S262" s="21" t="s">
        <v>1142</v>
      </c>
      <c r="T262" s="21">
        <v>393.29999999999995</v>
      </c>
      <c r="U262" s="21" t="str">
        <f>IFERROR(VLOOKUP(salesHistory[[#This Row],[order_no]],orderHistory[],22,FALSE),"")</f>
        <v>SALE</v>
      </c>
    </row>
    <row r="263" spans="1:21">
      <c r="A263" s="7">
        <v>38</v>
      </c>
      <c r="B263" s="199" t="s">
        <v>1018</v>
      </c>
      <c r="C263" s="200" t="s">
        <v>1056</v>
      </c>
      <c r="D263" s="7">
        <v>30</v>
      </c>
      <c r="E263" s="72">
        <v>13.11</v>
      </c>
      <c r="H263" s="7"/>
      <c r="I263" s="7" t="s">
        <v>1142</v>
      </c>
      <c r="J263" s="7" t="s">
        <v>1142</v>
      </c>
      <c r="K263" s="7" t="s">
        <v>1142</v>
      </c>
      <c r="L263" s="7" t="s">
        <v>1142</v>
      </c>
      <c r="M263" s="7" t="s">
        <v>1142</v>
      </c>
      <c r="N263" s="7" t="s">
        <v>1142</v>
      </c>
      <c r="O263" s="7" t="s">
        <v>1159</v>
      </c>
      <c r="P263" s="7">
        <v>0</v>
      </c>
      <c r="Q263" s="7">
        <v>0</v>
      </c>
      <c r="R263" s="21" t="s">
        <v>1142</v>
      </c>
      <c r="S263" s="21" t="s">
        <v>1142</v>
      </c>
      <c r="T263" s="21">
        <v>393.29999999999995</v>
      </c>
      <c r="U263" s="21" t="str">
        <f>IFERROR(VLOOKUP(salesHistory[[#This Row],[order_no]],orderHistory[],22,FALSE),"")</f>
        <v>SALE</v>
      </c>
    </row>
    <row r="264" spans="1:21">
      <c r="A264" s="7">
        <v>38</v>
      </c>
      <c r="B264" s="199" t="s">
        <v>1019</v>
      </c>
      <c r="C264" s="200" t="s">
        <v>1057</v>
      </c>
      <c r="D264" s="7">
        <v>30</v>
      </c>
      <c r="E264" s="72">
        <v>13.11</v>
      </c>
      <c r="H264" s="7"/>
      <c r="I264" s="7" t="s">
        <v>1142</v>
      </c>
      <c r="J264" s="7" t="s">
        <v>1142</v>
      </c>
      <c r="K264" s="7" t="s">
        <v>1142</v>
      </c>
      <c r="L264" s="7" t="s">
        <v>1142</v>
      </c>
      <c r="M264" s="7" t="s">
        <v>1142</v>
      </c>
      <c r="N264" s="7" t="s">
        <v>1142</v>
      </c>
      <c r="O264" s="7" t="s">
        <v>1159</v>
      </c>
      <c r="P264" s="7">
        <v>0</v>
      </c>
      <c r="Q264" s="7">
        <v>0</v>
      </c>
      <c r="R264" s="21" t="s">
        <v>1142</v>
      </c>
      <c r="S264" s="21" t="s">
        <v>1142</v>
      </c>
      <c r="T264" s="21">
        <v>393.29999999999995</v>
      </c>
      <c r="U264" s="21" t="str">
        <f>IFERROR(VLOOKUP(salesHistory[[#This Row],[order_no]],orderHistory[],22,FALSE),"")</f>
        <v>SALE</v>
      </c>
    </row>
    <row r="265" spans="1:21">
      <c r="A265" s="7">
        <v>38</v>
      </c>
      <c r="B265" s="199" t="s">
        <v>1020</v>
      </c>
      <c r="C265" s="200" t="s">
        <v>1058</v>
      </c>
      <c r="D265" s="7">
        <v>30</v>
      </c>
      <c r="E265" s="72">
        <v>13.11</v>
      </c>
      <c r="H265" s="7"/>
      <c r="I265" s="7" t="s">
        <v>1142</v>
      </c>
      <c r="J265" s="7" t="s">
        <v>1142</v>
      </c>
      <c r="K265" s="7" t="s">
        <v>1142</v>
      </c>
      <c r="L265" s="7" t="s">
        <v>1142</v>
      </c>
      <c r="M265" s="7" t="s">
        <v>1142</v>
      </c>
      <c r="N265" s="7" t="s">
        <v>1142</v>
      </c>
      <c r="O265" s="7" t="s">
        <v>1159</v>
      </c>
      <c r="P265" s="7">
        <v>0</v>
      </c>
      <c r="Q265" s="7">
        <v>0</v>
      </c>
      <c r="R265" s="21" t="s">
        <v>1142</v>
      </c>
      <c r="S265" s="21" t="s">
        <v>1142</v>
      </c>
      <c r="T265" s="21">
        <v>393.29999999999995</v>
      </c>
      <c r="U265" s="21" t="str">
        <f>IFERROR(VLOOKUP(salesHistory[[#This Row],[order_no]],orderHistory[],22,FALSE),"")</f>
        <v>SALE</v>
      </c>
    </row>
    <row r="266" spans="1:21">
      <c r="A266" s="7">
        <v>38</v>
      </c>
      <c r="B266" s="199" t="s">
        <v>1023</v>
      </c>
      <c r="C266" s="200" t="s">
        <v>1061</v>
      </c>
      <c r="D266" s="7">
        <v>30</v>
      </c>
      <c r="E266" s="72">
        <v>13.11</v>
      </c>
      <c r="H266" s="7"/>
      <c r="I266" s="7" t="s">
        <v>1142</v>
      </c>
      <c r="J266" s="7" t="s">
        <v>1142</v>
      </c>
      <c r="K266" s="7" t="s">
        <v>1142</v>
      </c>
      <c r="L266" s="7" t="s">
        <v>1142</v>
      </c>
      <c r="M266" s="7" t="s">
        <v>1142</v>
      </c>
      <c r="N266" s="7" t="s">
        <v>1142</v>
      </c>
      <c r="O266" s="7" t="s">
        <v>1159</v>
      </c>
      <c r="P266" s="7">
        <v>0</v>
      </c>
      <c r="Q266" s="7">
        <v>0</v>
      </c>
      <c r="R266" s="21" t="s">
        <v>1142</v>
      </c>
      <c r="S266" s="21" t="s">
        <v>1142</v>
      </c>
      <c r="T266" s="21">
        <v>393.29999999999995</v>
      </c>
      <c r="U266" s="21" t="str">
        <f>IFERROR(VLOOKUP(salesHistory[[#This Row],[order_no]],orderHistory[],22,FALSE),"")</f>
        <v>SALE</v>
      </c>
    </row>
    <row r="267" spans="1:21">
      <c r="A267" s="7">
        <v>38</v>
      </c>
      <c r="B267" s="199" t="s">
        <v>1024</v>
      </c>
      <c r="C267" s="200" t="s">
        <v>1062</v>
      </c>
      <c r="D267" s="7">
        <v>30</v>
      </c>
      <c r="E267" s="72">
        <v>13.11</v>
      </c>
      <c r="H267" s="7"/>
      <c r="I267" s="7" t="s">
        <v>1142</v>
      </c>
      <c r="J267" s="7" t="s">
        <v>1142</v>
      </c>
      <c r="K267" s="7" t="s">
        <v>1142</v>
      </c>
      <c r="L267" s="7" t="s">
        <v>1142</v>
      </c>
      <c r="M267" s="7" t="s">
        <v>1142</v>
      </c>
      <c r="N267" s="7" t="s">
        <v>1142</v>
      </c>
      <c r="O267" s="7" t="s">
        <v>1159</v>
      </c>
      <c r="P267" s="7">
        <v>0</v>
      </c>
      <c r="Q267" s="7">
        <v>0</v>
      </c>
      <c r="R267" s="21" t="s">
        <v>1142</v>
      </c>
      <c r="S267" s="21" t="s">
        <v>1142</v>
      </c>
      <c r="T267" s="21">
        <v>393.29999999999995</v>
      </c>
      <c r="U267" s="21" t="str">
        <f>IFERROR(VLOOKUP(salesHistory[[#This Row],[order_no]],orderHistory[],22,FALSE),"")</f>
        <v>SALE</v>
      </c>
    </row>
    <row r="268" spans="1:21">
      <c r="A268" s="7">
        <v>38</v>
      </c>
      <c r="B268" s="199" t="s">
        <v>1025</v>
      </c>
      <c r="C268" s="200" t="s">
        <v>1063</v>
      </c>
      <c r="D268" s="7">
        <v>30</v>
      </c>
      <c r="E268" s="72">
        <v>13.11</v>
      </c>
      <c r="H268" s="7"/>
      <c r="I268" s="7" t="s">
        <v>1142</v>
      </c>
      <c r="J268" s="7" t="s">
        <v>1142</v>
      </c>
      <c r="K268" s="7" t="s">
        <v>1142</v>
      </c>
      <c r="L268" s="7" t="s">
        <v>1142</v>
      </c>
      <c r="M268" s="7" t="s">
        <v>1142</v>
      </c>
      <c r="N268" s="7" t="s">
        <v>1142</v>
      </c>
      <c r="O268" s="7" t="s">
        <v>1159</v>
      </c>
      <c r="P268" s="7">
        <v>0</v>
      </c>
      <c r="Q268" s="7">
        <v>0</v>
      </c>
      <c r="R268" s="21" t="s">
        <v>1142</v>
      </c>
      <c r="S268" s="21" t="s">
        <v>1142</v>
      </c>
      <c r="T268" s="21">
        <v>393.29999999999995</v>
      </c>
      <c r="U268" s="21" t="str">
        <f>IFERROR(VLOOKUP(salesHistory[[#This Row],[order_no]],orderHistory[],22,FALSE),"")</f>
        <v>SALE</v>
      </c>
    </row>
    <row r="269" spans="1:21">
      <c r="A269" s="7">
        <v>38</v>
      </c>
      <c r="B269" s="199" t="s">
        <v>1026</v>
      </c>
      <c r="C269" s="200" t="s">
        <v>1064</v>
      </c>
      <c r="D269" s="7">
        <v>30</v>
      </c>
      <c r="E269" s="72">
        <v>13.11</v>
      </c>
      <c r="H269" s="7"/>
      <c r="I269" s="7" t="s">
        <v>1142</v>
      </c>
      <c r="J269" s="7" t="s">
        <v>1142</v>
      </c>
      <c r="K269" s="7" t="s">
        <v>1142</v>
      </c>
      <c r="L269" s="7" t="s">
        <v>1142</v>
      </c>
      <c r="M269" s="7" t="s">
        <v>1142</v>
      </c>
      <c r="N269" s="7" t="s">
        <v>1142</v>
      </c>
      <c r="O269" s="7" t="s">
        <v>1159</v>
      </c>
      <c r="P269" s="7">
        <v>0</v>
      </c>
      <c r="Q269" s="7">
        <v>0</v>
      </c>
      <c r="R269" s="21" t="s">
        <v>1142</v>
      </c>
      <c r="S269" s="21" t="s">
        <v>1142</v>
      </c>
      <c r="T269" s="21">
        <v>393.29999999999995</v>
      </c>
      <c r="U269" s="21" t="str">
        <f>IFERROR(VLOOKUP(salesHistory[[#This Row],[order_no]],orderHistory[],22,FALSE),"")</f>
        <v>SALE</v>
      </c>
    </row>
    <row r="270" spans="1:21">
      <c r="A270" s="7">
        <v>38</v>
      </c>
      <c r="B270" s="199" t="s">
        <v>1033</v>
      </c>
      <c r="C270" s="200" t="s">
        <v>1071</v>
      </c>
      <c r="D270" s="7">
        <v>30</v>
      </c>
      <c r="E270" s="72">
        <v>13.11</v>
      </c>
      <c r="H270" s="7"/>
      <c r="I270" s="7" t="s">
        <v>1142</v>
      </c>
      <c r="J270" s="7" t="s">
        <v>1142</v>
      </c>
      <c r="K270" s="7" t="s">
        <v>1142</v>
      </c>
      <c r="L270" s="7" t="s">
        <v>1142</v>
      </c>
      <c r="M270" s="7" t="s">
        <v>1142</v>
      </c>
      <c r="N270" s="7" t="s">
        <v>1142</v>
      </c>
      <c r="O270" s="7" t="s">
        <v>1159</v>
      </c>
      <c r="P270" s="7">
        <v>0</v>
      </c>
      <c r="Q270" s="7">
        <v>0</v>
      </c>
      <c r="R270" s="21" t="s">
        <v>1142</v>
      </c>
      <c r="S270" s="21" t="s">
        <v>1142</v>
      </c>
      <c r="T270" s="21">
        <v>393.29999999999995</v>
      </c>
      <c r="U270" s="21" t="str">
        <f>IFERROR(VLOOKUP(salesHistory[[#This Row],[order_no]],orderHistory[],22,FALSE),"")</f>
        <v>SALE</v>
      </c>
    </row>
    <row r="271" spans="1:21">
      <c r="A271" s="7">
        <v>38</v>
      </c>
      <c r="B271" s="199" t="s">
        <v>1034</v>
      </c>
      <c r="C271" s="200" t="s">
        <v>1072</v>
      </c>
      <c r="D271" s="7">
        <v>30</v>
      </c>
      <c r="E271" s="72">
        <v>13.11</v>
      </c>
      <c r="H271" s="7"/>
      <c r="I271" s="7" t="s">
        <v>1142</v>
      </c>
      <c r="J271" s="7" t="s">
        <v>1142</v>
      </c>
      <c r="K271" s="7" t="s">
        <v>1142</v>
      </c>
      <c r="L271" s="7" t="s">
        <v>1142</v>
      </c>
      <c r="M271" s="7" t="s">
        <v>1142</v>
      </c>
      <c r="N271" s="7" t="s">
        <v>1142</v>
      </c>
      <c r="O271" s="7" t="s">
        <v>1159</v>
      </c>
      <c r="P271" s="7">
        <v>0</v>
      </c>
      <c r="Q271" s="7">
        <v>0</v>
      </c>
      <c r="R271" s="21" t="s">
        <v>1142</v>
      </c>
      <c r="S271" s="21" t="s">
        <v>1142</v>
      </c>
      <c r="T271" s="21">
        <v>393.29999999999995</v>
      </c>
      <c r="U271" s="21" t="str">
        <f>IFERROR(VLOOKUP(salesHistory[[#This Row],[order_no]],orderHistory[],22,FALSE),"")</f>
        <v>SALE</v>
      </c>
    </row>
    <row r="272" spans="1:21">
      <c r="A272" s="7">
        <v>38</v>
      </c>
      <c r="B272" s="199" t="s">
        <v>1035</v>
      </c>
      <c r="C272" s="200" t="s">
        <v>1073</v>
      </c>
      <c r="D272" s="7">
        <v>30</v>
      </c>
      <c r="E272" s="72">
        <v>13.11</v>
      </c>
      <c r="H272" s="7"/>
      <c r="I272" s="7" t="s">
        <v>1142</v>
      </c>
      <c r="J272" s="7" t="s">
        <v>1142</v>
      </c>
      <c r="K272" s="7" t="s">
        <v>1142</v>
      </c>
      <c r="L272" s="7" t="s">
        <v>1142</v>
      </c>
      <c r="M272" s="7" t="s">
        <v>1142</v>
      </c>
      <c r="N272" s="7" t="s">
        <v>1142</v>
      </c>
      <c r="O272" s="7" t="s">
        <v>1159</v>
      </c>
      <c r="P272" s="7">
        <v>0</v>
      </c>
      <c r="Q272" s="7">
        <v>0</v>
      </c>
      <c r="R272" s="21" t="s">
        <v>1142</v>
      </c>
      <c r="S272" s="21" t="s">
        <v>1142</v>
      </c>
      <c r="T272" s="21">
        <v>393.29999999999995</v>
      </c>
      <c r="U272" s="21" t="str">
        <f>IFERROR(VLOOKUP(salesHistory[[#This Row],[order_no]],orderHistory[],22,FALSE),"")</f>
        <v>SALE</v>
      </c>
    </row>
    <row r="273" spans="1:21">
      <c r="A273" s="7">
        <v>38</v>
      </c>
      <c r="B273" s="199" t="s">
        <v>1036</v>
      </c>
      <c r="C273" s="200" t="s">
        <v>1074</v>
      </c>
      <c r="D273" s="7">
        <v>30</v>
      </c>
      <c r="E273" s="72">
        <v>13.11</v>
      </c>
      <c r="H273" s="7"/>
      <c r="I273" s="7" t="s">
        <v>1142</v>
      </c>
      <c r="J273" s="7" t="s">
        <v>1142</v>
      </c>
      <c r="K273" s="7" t="s">
        <v>1142</v>
      </c>
      <c r="L273" s="7" t="s">
        <v>1142</v>
      </c>
      <c r="M273" s="7" t="s">
        <v>1142</v>
      </c>
      <c r="N273" s="7" t="s">
        <v>1142</v>
      </c>
      <c r="O273" s="7" t="s">
        <v>1159</v>
      </c>
      <c r="P273" s="7">
        <v>0</v>
      </c>
      <c r="Q273" s="7">
        <v>0</v>
      </c>
      <c r="R273" s="21" t="s">
        <v>1142</v>
      </c>
      <c r="S273" s="21" t="s">
        <v>1142</v>
      </c>
      <c r="T273" s="21">
        <v>393.29999999999995</v>
      </c>
      <c r="U273" s="21" t="str">
        <f>IFERROR(VLOOKUP(salesHistory[[#This Row],[order_no]],orderHistory[],22,FALSE),"")</f>
        <v>SALE</v>
      </c>
    </row>
    <row r="274" spans="1:21">
      <c r="A274" s="7">
        <v>38</v>
      </c>
      <c r="B274" s="199" t="s">
        <v>1037</v>
      </c>
      <c r="C274" s="200" t="s">
        <v>1075</v>
      </c>
      <c r="D274" s="7">
        <v>30</v>
      </c>
      <c r="E274" s="72">
        <v>13.11</v>
      </c>
      <c r="H274" s="7"/>
      <c r="I274" s="7" t="s">
        <v>1142</v>
      </c>
      <c r="J274" s="7" t="s">
        <v>1142</v>
      </c>
      <c r="K274" s="7" t="s">
        <v>1142</v>
      </c>
      <c r="L274" s="7" t="s">
        <v>1142</v>
      </c>
      <c r="M274" s="7" t="s">
        <v>1142</v>
      </c>
      <c r="N274" s="7" t="s">
        <v>1142</v>
      </c>
      <c r="O274" s="7" t="s">
        <v>1159</v>
      </c>
      <c r="P274" s="7">
        <v>0</v>
      </c>
      <c r="Q274" s="7">
        <v>0</v>
      </c>
      <c r="R274" s="21" t="s">
        <v>1142</v>
      </c>
      <c r="S274" s="21" t="s">
        <v>1142</v>
      </c>
      <c r="T274" s="21">
        <v>393.29999999999995</v>
      </c>
      <c r="U274" s="21" t="str">
        <f>IFERROR(VLOOKUP(salesHistory[[#This Row],[order_no]],orderHistory[],22,FALSE),"")</f>
        <v>SALE</v>
      </c>
    </row>
    <row r="275" spans="1:21">
      <c r="A275" s="7">
        <v>38</v>
      </c>
      <c r="B275" s="199" t="s">
        <v>1038</v>
      </c>
      <c r="C275" s="200" t="s">
        <v>1076</v>
      </c>
      <c r="D275" s="7">
        <v>30</v>
      </c>
      <c r="E275" s="72">
        <v>13.11</v>
      </c>
      <c r="H275" s="7"/>
      <c r="I275" s="7" t="s">
        <v>1142</v>
      </c>
      <c r="J275" s="7" t="s">
        <v>1142</v>
      </c>
      <c r="K275" s="7" t="s">
        <v>1142</v>
      </c>
      <c r="L275" s="7" t="s">
        <v>1142</v>
      </c>
      <c r="M275" s="7" t="s">
        <v>1142</v>
      </c>
      <c r="N275" s="7" t="s">
        <v>1142</v>
      </c>
      <c r="O275" s="7" t="s">
        <v>1159</v>
      </c>
      <c r="P275" s="7">
        <v>0</v>
      </c>
      <c r="Q275" s="7">
        <v>0</v>
      </c>
      <c r="R275" s="21" t="s">
        <v>1142</v>
      </c>
      <c r="S275" s="21" t="s">
        <v>1142</v>
      </c>
      <c r="T275" s="21">
        <v>393.29999999999995</v>
      </c>
      <c r="U275" s="21" t="str">
        <f>IFERROR(VLOOKUP(salesHistory[[#This Row],[order_no]],orderHistory[],22,FALSE),"")</f>
        <v>SALE</v>
      </c>
    </row>
    <row r="276" spans="1:21">
      <c r="A276" s="7">
        <v>38</v>
      </c>
      <c r="B276" s="199" t="s">
        <v>1039</v>
      </c>
      <c r="C276" s="200" t="s">
        <v>1077</v>
      </c>
      <c r="D276" s="7">
        <v>30</v>
      </c>
      <c r="E276" s="72">
        <v>13.11</v>
      </c>
      <c r="H276" s="7"/>
      <c r="I276" s="7" t="s">
        <v>1142</v>
      </c>
      <c r="J276" s="7" t="s">
        <v>1142</v>
      </c>
      <c r="K276" s="7" t="s">
        <v>1142</v>
      </c>
      <c r="L276" s="7" t="s">
        <v>1142</v>
      </c>
      <c r="M276" s="7" t="s">
        <v>1142</v>
      </c>
      <c r="N276" s="7" t="s">
        <v>1142</v>
      </c>
      <c r="O276" s="7" t="s">
        <v>1159</v>
      </c>
      <c r="P276" s="7">
        <v>0</v>
      </c>
      <c r="Q276" s="7">
        <v>0</v>
      </c>
      <c r="R276" s="21" t="s">
        <v>1142</v>
      </c>
      <c r="S276" s="21" t="s">
        <v>1142</v>
      </c>
      <c r="T276" s="21">
        <v>393.29999999999995</v>
      </c>
      <c r="U276" s="21" t="str">
        <f>IFERROR(VLOOKUP(salesHistory[[#This Row],[order_no]],orderHistory[],22,FALSE),"")</f>
        <v>SALE</v>
      </c>
    </row>
    <row r="277" spans="1:21">
      <c r="A277" s="7">
        <v>38</v>
      </c>
      <c r="B277" s="199" t="s">
        <v>1040</v>
      </c>
      <c r="C277" s="200" t="s">
        <v>1078</v>
      </c>
      <c r="D277" s="7">
        <v>30</v>
      </c>
      <c r="E277" s="72">
        <v>13.11</v>
      </c>
      <c r="H277" s="7"/>
      <c r="I277" s="7" t="s">
        <v>1142</v>
      </c>
      <c r="J277" s="7" t="s">
        <v>1142</v>
      </c>
      <c r="K277" s="7" t="s">
        <v>1142</v>
      </c>
      <c r="L277" s="7" t="s">
        <v>1142</v>
      </c>
      <c r="M277" s="7" t="s">
        <v>1142</v>
      </c>
      <c r="N277" s="7" t="s">
        <v>1142</v>
      </c>
      <c r="O277" s="7" t="s">
        <v>1159</v>
      </c>
      <c r="P277" s="7">
        <v>0</v>
      </c>
      <c r="Q277" s="7">
        <v>0</v>
      </c>
      <c r="R277" s="21" t="s">
        <v>1142</v>
      </c>
      <c r="S277" s="21" t="s">
        <v>1142</v>
      </c>
      <c r="T277" s="21">
        <v>393.29999999999995</v>
      </c>
      <c r="U277" s="21" t="str">
        <f>IFERROR(VLOOKUP(salesHistory[[#This Row],[order_no]],orderHistory[],22,FALSE),"")</f>
        <v>SALE</v>
      </c>
    </row>
    <row r="278" spans="1:21">
      <c r="A278" s="7">
        <v>38</v>
      </c>
      <c r="B278" s="199" t="s">
        <v>1041</v>
      </c>
      <c r="C278" s="200" t="s">
        <v>1079</v>
      </c>
      <c r="D278" s="7">
        <v>30</v>
      </c>
      <c r="E278" s="72">
        <v>13.11</v>
      </c>
      <c r="H278" s="7"/>
      <c r="I278" s="7" t="s">
        <v>1142</v>
      </c>
      <c r="J278" s="7" t="s">
        <v>1142</v>
      </c>
      <c r="K278" s="7" t="s">
        <v>1142</v>
      </c>
      <c r="L278" s="7" t="s">
        <v>1142</v>
      </c>
      <c r="M278" s="7" t="s">
        <v>1142</v>
      </c>
      <c r="N278" s="7" t="s">
        <v>1142</v>
      </c>
      <c r="O278" s="7" t="s">
        <v>1159</v>
      </c>
      <c r="P278" s="7">
        <v>0</v>
      </c>
      <c r="Q278" s="7">
        <v>0</v>
      </c>
      <c r="R278" s="21" t="s">
        <v>1142</v>
      </c>
      <c r="S278" s="21" t="s">
        <v>1142</v>
      </c>
      <c r="T278" s="21">
        <v>393.29999999999995</v>
      </c>
      <c r="U278" s="21" t="str">
        <f>IFERROR(VLOOKUP(salesHistory[[#This Row],[order_no]],orderHistory[],22,FALSE),"")</f>
        <v>SALE</v>
      </c>
    </row>
    <row r="279" spans="1:21">
      <c r="A279" s="7">
        <v>38</v>
      </c>
      <c r="B279" s="199" t="s">
        <v>1042</v>
      </c>
      <c r="C279" s="200" t="s">
        <v>1080</v>
      </c>
      <c r="D279" s="7">
        <v>30</v>
      </c>
      <c r="E279" s="72">
        <v>13.11</v>
      </c>
      <c r="H279" s="7"/>
      <c r="I279" s="7" t="s">
        <v>1142</v>
      </c>
      <c r="J279" s="7" t="s">
        <v>1142</v>
      </c>
      <c r="K279" s="7" t="s">
        <v>1142</v>
      </c>
      <c r="L279" s="7" t="s">
        <v>1142</v>
      </c>
      <c r="M279" s="7" t="s">
        <v>1142</v>
      </c>
      <c r="N279" s="7" t="s">
        <v>1142</v>
      </c>
      <c r="O279" s="7" t="s">
        <v>1159</v>
      </c>
      <c r="P279" s="7">
        <v>0</v>
      </c>
      <c r="Q279" s="7">
        <v>0</v>
      </c>
      <c r="R279" s="21" t="s">
        <v>1142</v>
      </c>
      <c r="S279" s="21" t="s">
        <v>1142</v>
      </c>
      <c r="T279" s="21">
        <v>393.29999999999995</v>
      </c>
      <c r="U279" s="21" t="str">
        <f>IFERROR(VLOOKUP(salesHistory[[#This Row],[order_no]],orderHistory[],22,FALSE),"")</f>
        <v>SALE</v>
      </c>
    </row>
    <row r="280" spans="1:21">
      <c r="A280" s="7">
        <v>38</v>
      </c>
      <c r="B280" s="199" t="s">
        <v>1043</v>
      </c>
      <c r="C280" s="200" t="s">
        <v>1081</v>
      </c>
      <c r="D280" s="7">
        <v>30</v>
      </c>
      <c r="E280" s="72">
        <v>13.11</v>
      </c>
      <c r="H280" s="7"/>
      <c r="I280" s="7" t="s">
        <v>1142</v>
      </c>
      <c r="J280" s="7" t="s">
        <v>1142</v>
      </c>
      <c r="K280" s="7" t="s">
        <v>1142</v>
      </c>
      <c r="L280" s="7" t="s">
        <v>1142</v>
      </c>
      <c r="M280" s="7" t="s">
        <v>1142</v>
      </c>
      <c r="N280" s="7" t="s">
        <v>1142</v>
      </c>
      <c r="O280" s="7" t="s">
        <v>1159</v>
      </c>
      <c r="P280" s="7">
        <v>0</v>
      </c>
      <c r="Q280" s="7">
        <v>0</v>
      </c>
      <c r="R280" s="21" t="s">
        <v>1142</v>
      </c>
      <c r="S280" s="21" t="s">
        <v>1142</v>
      </c>
      <c r="T280" s="21">
        <v>393.29999999999995</v>
      </c>
      <c r="U280" s="21" t="str">
        <f>IFERROR(VLOOKUP(salesHistory[[#This Row],[order_no]],orderHistory[],22,FALSE),"")</f>
        <v>SALE</v>
      </c>
    </row>
    <row r="281" spans="1:21">
      <c r="A281" s="7">
        <v>38</v>
      </c>
      <c r="B281" s="199" t="s">
        <v>1044</v>
      </c>
      <c r="C281" s="200" t="s">
        <v>1082</v>
      </c>
      <c r="D281" s="7">
        <v>30</v>
      </c>
      <c r="E281" s="72">
        <v>13.11</v>
      </c>
      <c r="H281" s="7"/>
      <c r="I281" s="7" t="s">
        <v>1142</v>
      </c>
      <c r="J281" s="7" t="s">
        <v>1142</v>
      </c>
      <c r="K281" s="7" t="s">
        <v>1142</v>
      </c>
      <c r="L281" s="7" t="s">
        <v>1142</v>
      </c>
      <c r="M281" s="7" t="s">
        <v>1142</v>
      </c>
      <c r="N281" s="7" t="s">
        <v>1142</v>
      </c>
      <c r="O281" s="7" t="s">
        <v>1159</v>
      </c>
      <c r="P281" s="7">
        <v>0</v>
      </c>
      <c r="Q281" s="7">
        <v>0</v>
      </c>
      <c r="R281" s="21" t="s">
        <v>1142</v>
      </c>
      <c r="S281" s="21" t="s">
        <v>1142</v>
      </c>
      <c r="T281" s="21">
        <v>393.29999999999995</v>
      </c>
      <c r="U281" s="21" t="str">
        <f>IFERROR(VLOOKUP(salesHistory[[#This Row],[order_no]],orderHistory[],22,FALSE),"")</f>
        <v>SALE</v>
      </c>
    </row>
    <row r="282" spans="1:21">
      <c r="A282" s="7">
        <v>38</v>
      </c>
      <c r="B282" s="199" t="s">
        <v>1045</v>
      </c>
      <c r="C282" s="200" t="s">
        <v>1083</v>
      </c>
      <c r="D282" s="7">
        <v>30</v>
      </c>
      <c r="E282" s="72">
        <v>13.11</v>
      </c>
      <c r="H282" s="7"/>
      <c r="I282" s="7" t="s">
        <v>1142</v>
      </c>
      <c r="J282" s="7" t="s">
        <v>1142</v>
      </c>
      <c r="K282" s="7" t="s">
        <v>1142</v>
      </c>
      <c r="L282" s="7" t="s">
        <v>1142</v>
      </c>
      <c r="M282" s="7" t="s">
        <v>1142</v>
      </c>
      <c r="N282" s="7" t="s">
        <v>1142</v>
      </c>
      <c r="O282" s="7" t="s">
        <v>1159</v>
      </c>
      <c r="P282" s="7">
        <v>0</v>
      </c>
      <c r="Q282" s="7">
        <v>0</v>
      </c>
      <c r="R282" s="21" t="s">
        <v>1142</v>
      </c>
      <c r="S282" s="21" t="s">
        <v>1142</v>
      </c>
      <c r="T282" s="21">
        <v>393.29999999999995</v>
      </c>
      <c r="U282" s="21" t="str">
        <f>IFERROR(VLOOKUP(salesHistory[[#This Row],[order_no]],orderHistory[],22,FALSE),"")</f>
        <v>SALE</v>
      </c>
    </row>
    <row r="283" spans="1:21">
      <c r="A283" s="7">
        <v>38</v>
      </c>
      <c r="B283" s="199" t="s">
        <v>1046</v>
      </c>
      <c r="C283" s="200" t="s">
        <v>1084</v>
      </c>
      <c r="D283" s="7">
        <v>30</v>
      </c>
      <c r="E283" s="72">
        <v>13.11</v>
      </c>
      <c r="H283" s="7"/>
      <c r="I283" s="7" t="s">
        <v>1142</v>
      </c>
      <c r="J283" s="7" t="s">
        <v>1142</v>
      </c>
      <c r="K283" s="7" t="s">
        <v>1142</v>
      </c>
      <c r="L283" s="7" t="s">
        <v>1142</v>
      </c>
      <c r="M283" s="7" t="s">
        <v>1142</v>
      </c>
      <c r="N283" s="7" t="s">
        <v>1142</v>
      </c>
      <c r="O283" s="7" t="s">
        <v>1159</v>
      </c>
      <c r="P283" s="7">
        <v>0</v>
      </c>
      <c r="Q283" s="7">
        <v>0</v>
      </c>
      <c r="R283" s="21" t="s">
        <v>1142</v>
      </c>
      <c r="S283" s="21" t="s">
        <v>1142</v>
      </c>
      <c r="T283" s="21">
        <v>393.29999999999995</v>
      </c>
      <c r="U283" s="21" t="str">
        <f>IFERROR(VLOOKUP(salesHistory[[#This Row],[order_no]],orderHistory[],22,FALSE),"")</f>
        <v>SALE</v>
      </c>
    </row>
    <row r="284" spans="1:21">
      <c r="A284" s="7">
        <v>38</v>
      </c>
      <c r="B284" s="199" t="s">
        <v>1047</v>
      </c>
      <c r="C284" s="200" t="s">
        <v>1085</v>
      </c>
      <c r="D284" s="7">
        <v>30</v>
      </c>
      <c r="E284" s="72">
        <v>13.11</v>
      </c>
      <c r="H284" s="7"/>
      <c r="I284" s="7" t="s">
        <v>1142</v>
      </c>
      <c r="J284" s="7" t="s">
        <v>1142</v>
      </c>
      <c r="K284" s="7" t="s">
        <v>1142</v>
      </c>
      <c r="L284" s="7" t="s">
        <v>1142</v>
      </c>
      <c r="M284" s="7" t="s">
        <v>1142</v>
      </c>
      <c r="N284" s="7" t="s">
        <v>1142</v>
      </c>
      <c r="O284" s="7" t="s">
        <v>1159</v>
      </c>
      <c r="P284" s="7">
        <v>0</v>
      </c>
      <c r="Q284" s="7">
        <v>0</v>
      </c>
      <c r="R284" s="21" t="s">
        <v>1142</v>
      </c>
      <c r="S284" s="21" t="s">
        <v>1142</v>
      </c>
      <c r="T284" s="21">
        <v>393.29999999999995</v>
      </c>
      <c r="U284" s="21" t="str">
        <f>IFERROR(VLOOKUP(salesHistory[[#This Row],[order_no]],orderHistory[],22,FALSE),"")</f>
        <v>SALE</v>
      </c>
    </row>
    <row r="285" spans="1:21">
      <c r="A285" s="7">
        <v>38</v>
      </c>
      <c r="B285" s="199" t="s">
        <v>1048</v>
      </c>
      <c r="C285" s="200" t="s">
        <v>1086</v>
      </c>
      <c r="D285" s="7">
        <v>330</v>
      </c>
      <c r="E285" s="72">
        <v>0</v>
      </c>
      <c r="H285" s="7"/>
      <c r="I285" s="7">
        <v>4</v>
      </c>
      <c r="J285" s="7">
        <v>0</v>
      </c>
      <c r="K285" s="7">
        <v>0</v>
      </c>
      <c r="L285" s="7">
        <v>0</v>
      </c>
      <c r="M285" s="7">
        <v>0</v>
      </c>
      <c r="N285" s="7">
        <v>0</v>
      </c>
      <c r="O285" s="7" t="s">
        <v>1159</v>
      </c>
      <c r="P285" s="7">
        <v>0</v>
      </c>
      <c r="Q285" s="7">
        <v>0</v>
      </c>
      <c r="R285" s="21" t="s">
        <v>1142</v>
      </c>
      <c r="S285" s="21" t="s">
        <v>1142</v>
      </c>
      <c r="T285" s="21">
        <v>0</v>
      </c>
      <c r="U285" s="21" t="str">
        <f>IFERROR(VLOOKUP(salesHistory[[#This Row],[order_no]],orderHistory[],22,FALSE),"")</f>
        <v>SALE</v>
      </c>
    </row>
    <row r="286" spans="1:21">
      <c r="A286" s="439">
        <v>38</v>
      </c>
      <c r="B286" s="440" t="s">
        <v>1049</v>
      </c>
      <c r="C286" s="441" t="s">
        <v>1087</v>
      </c>
      <c r="D286" s="439">
        <v>450</v>
      </c>
      <c r="E286" s="442">
        <v>0</v>
      </c>
      <c r="F286" s="443"/>
      <c r="G286" s="442"/>
      <c r="H286" s="439"/>
      <c r="I286" s="439">
        <v>5</v>
      </c>
      <c r="J286" s="439">
        <v>0</v>
      </c>
      <c r="K286" s="439">
        <v>0</v>
      </c>
      <c r="L286" s="439">
        <v>0</v>
      </c>
      <c r="M286" s="439">
        <v>0</v>
      </c>
      <c r="N286" s="439">
        <v>0</v>
      </c>
      <c r="O286" s="439" t="s">
        <v>1159</v>
      </c>
      <c r="P286" s="439">
        <v>0</v>
      </c>
      <c r="Q286" s="439">
        <v>0</v>
      </c>
      <c r="R286" s="444" t="s">
        <v>1142</v>
      </c>
      <c r="S286" s="444" t="s">
        <v>1142</v>
      </c>
      <c r="T286" s="444">
        <v>0</v>
      </c>
      <c r="U286" s="444" t="str">
        <f>IFERROR(VLOOKUP(salesHistory[[#This Row],[order_no]],orderHistory[],22,FALSE),"")</f>
        <v>SALE</v>
      </c>
    </row>
    <row r="287" spans="1:21">
      <c r="A287" s="7">
        <v>39</v>
      </c>
      <c r="B287" s="199" t="s">
        <v>111</v>
      </c>
      <c r="C287" s="200" t="s">
        <v>112</v>
      </c>
      <c r="D287" s="7">
        <v>144</v>
      </c>
      <c r="E287" s="72">
        <v>7.5</v>
      </c>
      <c r="H287" s="7">
        <v>12</v>
      </c>
      <c r="I287" s="7">
        <v>6</v>
      </c>
      <c r="J287" s="7">
        <v>0</v>
      </c>
      <c r="K287" s="7">
        <v>1</v>
      </c>
      <c r="L287" s="7">
        <v>48.879999999999995</v>
      </c>
      <c r="M287" s="7">
        <v>53.495000000000005</v>
      </c>
      <c r="N287" s="7">
        <v>0.13467599999999999</v>
      </c>
      <c r="O287" s="7" t="s">
        <v>74</v>
      </c>
      <c r="P287" s="7">
        <v>100</v>
      </c>
      <c r="Q287" s="7" t="s">
        <v>75</v>
      </c>
      <c r="R287" s="21">
        <v>5</v>
      </c>
      <c r="S287" s="21">
        <v>780</v>
      </c>
      <c r="T287" s="21">
        <v>1080</v>
      </c>
      <c r="U287" s="21" t="str">
        <f>IFERROR(VLOOKUP(salesHistory[[#This Row],[order_no]],orderHistory[],22,FALSE),"")</f>
        <v>SALE</v>
      </c>
    </row>
    <row r="288" spans="1:21">
      <c r="A288" s="7">
        <v>39</v>
      </c>
      <c r="B288" s="199" t="s">
        <v>113</v>
      </c>
      <c r="C288" s="200" t="s">
        <v>114</v>
      </c>
      <c r="D288" s="7">
        <v>144</v>
      </c>
      <c r="E288" s="72">
        <v>7.5</v>
      </c>
      <c r="H288" s="7">
        <v>12</v>
      </c>
      <c r="I288" s="7">
        <v>6</v>
      </c>
      <c r="J288" s="7">
        <v>0</v>
      </c>
      <c r="K288" s="7">
        <v>1</v>
      </c>
      <c r="L288" s="7">
        <v>48.879999999999995</v>
      </c>
      <c r="M288" s="7">
        <v>53.495000000000005</v>
      </c>
      <c r="N288" s="7">
        <v>0.13467599999999999</v>
      </c>
      <c r="O288" s="7" t="s">
        <v>74</v>
      </c>
      <c r="P288" s="7">
        <v>100</v>
      </c>
      <c r="Q288" s="7" t="s">
        <v>75</v>
      </c>
      <c r="R288" s="21">
        <v>5</v>
      </c>
      <c r="S288" s="21">
        <v>780</v>
      </c>
      <c r="T288" s="21">
        <v>1080</v>
      </c>
      <c r="U288" s="21" t="str">
        <f>IFERROR(VLOOKUP(salesHistory[[#This Row],[order_no]],orderHistory[],22,FALSE),"")</f>
        <v>SALE</v>
      </c>
    </row>
    <row r="289" spans="1:21">
      <c r="A289" s="7">
        <v>39</v>
      </c>
      <c r="B289" s="199" t="s">
        <v>115</v>
      </c>
      <c r="C289" s="200" t="s">
        <v>116</v>
      </c>
      <c r="D289" s="7">
        <v>144</v>
      </c>
      <c r="E289" s="72">
        <v>7.5</v>
      </c>
      <c r="H289" s="7">
        <v>12</v>
      </c>
      <c r="I289" s="7">
        <v>6</v>
      </c>
      <c r="J289" s="7">
        <v>0</v>
      </c>
      <c r="K289" s="7">
        <v>1</v>
      </c>
      <c r="L289" s="7">
        <v>48.879999999999995</v>
      </c>
      <c r="M289" s="7">
        <v>53.495000000000005</v>
      </c>
      <c r="N289" s="7">
        <v>0.13467599999999999</v>
      </c>
      <c r="O289" s="7" t="s">
        <v>74</v>
      </c>
      <c r="P289" s="7">
        <v>100</v>
      </c>
      <c r="Q289" s="7" t="s">
        <v>75</v>
      </c>
      <c r="R289" s="21">
        <v>5</v>
      </c>
      <c r="S289" s="21">
        <v>780</v>
      </c>
      <c r="T289" s="21">
        <v>1080</v>
      </c>
      <c r="U289" s="21" t="str">
        <f>IFERROR(VLOOKUP(salesHistory[[#This Row],[order_no]],orderHistory[],22,FALSE),"")</f>
        <v>SALE</v>
      </c>
    </row>
    <row r="290" spans="1:21">
      <c r="A290" s="7">
        <v>39</v>
      </c>
      <c r="B290" s="199" t="s">
        <v>117</v>
      </c>
      <c r="C290" s="200" t="s">
        <v>118</v>
      </c>
      <c r="D290" s="7">
        <v>144</v>
      </c>
      <c r="E290" s="72">
        <v>7.5</v>
      </c>
      <c r="H290" s="7">
        <v>12</v>
      </c>
      <c r="I290" s="7">
        <v>6</v>
      </c>
      <c r="J290" s="7">
        <v>0</v>
      </c>
      <c r="K290" s="7">
        <v>1</v>
      </c>
      <c r="L290" s="7">
        <v>48.879999999999995</v>
      </c>
      <c r="M290" s="7">
        <v>53.495000000000005</v>
      </c>
      <c r="N290" s="7">
        <v>0.13467599999999999</v>
      </c>
      <c r="O290" s="7" t="s">
        <v>74</v>
      </c>
      <c r="P290" s="7">
        <v>100</v>
      </c>
      <c r="Q290" s="7" t="s">
        <v>75</v>
      </c>
      <c r="R290" s="21">
        <v>5</v>
      </c>
      <c r="S290" s="21">
        <v>780</v>
      </c>
      <c r="T290" s="21">
        <v>1080</v>
      </c>
      <c r="U290" s="21" t="str">
        <f>IFERROR(VLOOKUP(salesHistory[[#This Row],[order_no]],orderHistory[],22,FALSE),"")</f>
        <v>SALE</v>
      </c>
    </row>
    <row r="291" spans="1:21">
      <c r="A291" s="7">
        <v>39</v>
      </c>
      <c r="B291" s="199" t="s">
        <v>119</v>
      </c>
      <c r="C291" s="200" t="s">
        <v>120</v>
      </c>
      <c r="D291" s="7">
        <v>144</v>
      </c>
      <c r="E291" s="72">
        <v>7.5</v>
      </c>
      <c r="H291" s="7">
        <v>12</v>
      </c>
      <c r="I291" s="7">
        <v>6</v>
      </c>
      <c r="J291" s="7">
        <v>0</v>
      </c>
      <c r="K291" s="7">
        <v>1</v>
      </c>
      <c r="L291" s="7">
        <v>44.655000000000001</v>
      </c>
      <c r="M291" s="7">
        <v>49.14</v>
      </c>
      <c r="N291" s="7">
        <v>0.15093000000000001</v>
      </c>
      <c r="O291" s="7" t="s">
        <v>74</v>
      </c>
      <c r="P291" s="7">
        <v>100</v>
      </c>
      <c r="Q291" s="7" t="s">
        <v>75</v>
      </c>
      <c r="R291" s="21">
        <v>5</v>
      </c>
      <c r="S291" s="21">
        <v>780</v>
      </c>
      <c r="T291" s="21">
        <v>1080</v>
      </c>
      <c r="U291" s="21" t="str">
        <f>IFERROR(VLOOKUP(salesHistory[[#This Row],[order_no]],orderHistory[],22,FALSE),"")</f>
        <v>SALE</v>
      </c>
    </row>
    <row r="292" spans="1:21">
      <c r="A292" s="7">
        <v>39</v>
      </c>
      <c r="B292" s="199" t="s">
        <v>121</v>
      </c>
      <c r="C292" s="200" t="s">
        <v>122</v>
      </c>
      <c r="D292" s="7">
        <v>144</v>
      </c>
      <c r="E292" s="72">
        <v>7.5</v>
      </c>
      <c r="H292" s="7">
        <v>12</v>
      </c>
      <c r="I292" s="7">
        <v>6</v>
      </c>
      <c r="J292" s="7">
        <v>0</v>
      </c>
      <c r="K292" s="7">
        <v>1</v>
      </c>
      <c r="L292" s="7">
        <v>44.655000000000001</v>
      </c>
      <c r="M292" s="7">
        <v>49.14</v>
      </c>
      <c r="N292" s="7">
        <v>0.15093000000000001</v>
      </c>
      <c r="O292" s="7" t="s">
        <v>74</v>
      </c>
      <c r="P292" s="7">
        <v>100</v>
      </c>
      <c r="Q292" s="7" t="s">
        <v>75</v>
      </c>
      <c r="R292" s="21">
        <v>5</v>
      </c>
      <c r="S292" s="21">
        <v>780</v>
      </c>
      <c r="T292" s="21">
        <v>1080</v>
      </c>
      <c r="U292" s="21" t="str">
        <f>IFERROR(VLOOKUP(salesHistory[[#This Row],[order_no]],orderHistory[],22,FALSE),"")</f>
        <v>SALE</v>
      </c>
    </row>
    <row r="293" spans="1:21">
      <c r="A293" s="7">
        <v>39</v>
      </c>
      <c r="B293" s="199" t="s">
        <v>123</v>
      </c>
      <c r="C293" s="200" t="s">
        <v>124</v>
      </c>
      <c r="D293" s="7">
        <v>144</v>
      </c>
      <c r="E293" s="72">
        <v>7.5</v>
      </c>
      <c r="H293" s="7">
        <v>12</v>
      </c>
      <c r="I293" s="7">
        <v>6</v>
      </c>
      <c r="J293" s="7">
        <v>0</v>
      </c>
      <c r="K293" s="7">
        <v>1</v>
      </c>
      <c r="L293" s="7">
        <v>44.655000000000001</v>
      </c>
      <c r="M293" s="7">
        <v>49.14</v>
      </c>
      <c r="N293" s="7">
        <v>0.15093000000000001</v>
      </c>
      <c r="O293" s="7" t="s">
        <v>74</v>
      </c>
      <c r="P293" s="7">
        <v>100</v>
      </c>
      <c r="Q293" s="7" t="s">
        <v>75</v>
      </c>
      <c r="R293" s="21">
        <v>5</v>
      </c>
      <c r="S293" s="21">
        <v>780</v>
      </c>
      <c r="T293" s="21">
        <v>1080</v>
      </c>
      <c r="U293" s="21" t="str">
        <f>IFERROR(VLOOKUP(salesHistory[[#This Row],[order_no]],orderHistory[],22,FALSE),"")</f>
        <v>SALE</v>
      </c>
    </row>
    <row r="294" spans="1:21">
      <c r="A294" s="7">
        <v>39</v>
      </c>
      <c r="B294" s="199" t="s">
        <v>125</v>
      </c>
      <c r="C294" s="200" t="s">
        <v>126</v>
      </c>
      <c r="D294" s="7">
        <v>144</v>
      </c>
      <c r="E294" s="72">
        <v>7.5</v>
      </c>
      <c r="H294" s="7">
        <v>12</v>
      </c>
      <c r="I294" s="7">
        <v>6</v>
      </c>
      <c r="J294" s="7">
        <v>0</v>
      </c>
      <c r="K294" s="7">
        <v>1</v>
      </c>
      <c r="L294" s="7">
        <v>44.655000000000001</v>
      </c>
      <c r="M294" s="7">
        <v>49.14</v>
      </c>
      <c r="N294" s="7">
        <v>0.15093000000000001</v>
      </c>
      <c r="O294" s="7" t="s">
        <v>74</v>
      </c>
      <c r="P294" s="7">
        <v>100</v>
      </c>
      <c r="Q294" s="7" t="s">
        <v>75</v>
      </c>
      <c r="R294" s="21">
        <v>5</v>
      </c>
      <c r="S294" s="21">
        <v>780</v>
      </c>
      <c r="T294" s="21">
        <v>1080</v>
      </c>
      <c r="U294" s="21" t="str">
        <f>IFERROR(VLOOKUP(salesHistory[[#This Row],[order_no]],orderHistory[],22,FALSE),"")</f>
        <v>SALE</v>
      </c>
    </row>
    <row r="295" spans="1:21">
      <c r="A295" s="7">
        <v>39</v>
      </c>
      <c r="B295" s="199" t="s">
        <v>127</v>
      </c>
      <c r="C295" s="200" t="s">
        <v>129</v>
      </c>
      <c r="D295" s="7">
        <v>72</v>
      </c>
      <c r="E295" s="72">
        <v>15.55</v>
      </c>
      <c r="H295" s="7">
        <v>6</v>
      </c>
      <c r="I295" s="7">
        <v>3</v>
      </c>
      <c r="J295" s="7">
        <v>0</v>
      </c>
      <c r="K295" s="7">
        <v>1</v>
      </c>
      <c r="L295" s="7">
        <v>30.810000000000002</v>
      </c>
      <c r="M295" s="7">
        <v>32.175000000000004</v>
      </c>
      <c r="N295" s="7">
        <v>5.1892500000000001E-2</v>
      </c>
      <c r="O295" s="7" t="s">
        <v>128</v>
      </c>
      <c r="P295" s="7">
        <v>100</v>
      </c>
      <c r="Q295" s="7" t="s">
        <v>75</v>
      </c>
      <c r="R295" s="21">
        <v>11.68</v>
      </c>
      <c r="S295" s="21">
        <v>911.04</v>
      </c>
      <c r="T295" s="21">
        <v>1119.6000000000001</v>
      </c>
      <c r="U295" s="21" t="str">
        <f>IFERROR(VLOOKUP(salesHistory[[#This Row],[order_no]],orderHistory[],22,FALSE),"")</f>
        <v>SALE</v>
      </c>
    </row>
    <row r="296" spans="1:21">
      <c r="A296" s="7">
        <v>39</v>
      </c>
      <c r="B296" s="199" t="s">
        <v>130</v>
      </c>
      <c r="C296" s="200" t="s">
        <v>131</v>
      </c>
      <c r="D296" s="7">
        <v>72</v>
      </c>
      <c r="E296" s="72">
        <v>15.55</v>
      </c>
      <c r="H296" s="7">
        <v>6</v>
      </c>
      <c r="I296" s="7">
        <v>3</v>
      </c>
      <c r="J296" s="7">
        <v>0</v>
      </c>
      <c r="K296" s="7">
        <v>1</v>
      </c>
      <c r="L296" s="7">
        <v>30.810000000000002</v>
      </c>
      <c r="M296" s="7">
        <v>32.175000000000004</v>
      </c>
      <c r="N296" s="7">
        <v>5.1892500000000001E-2</v>
      </c>
      <c r="O296" s="7" t="s">
        <v>128</v>
      </c>
      <c r="P296" s="7">
        <v>100</v>
      </c>
      <c r="Q296" s="7" t="s">
        <v>75</v>
      </c>
      <c r="R296" s="21">
        <v>11.68</v>
      </c>
      <c r="S296" s="21">
        <v>911.04</v>
      </c>
      <c r="T296" s="21">
        <v>1119.6000000000001</v>
      </c>
      <c r="U296" s="21" t="str">
        <f>IFERROR(VLOOKUP(salesHistory[[#This Row],[order_no]],orderHistory[],22,FALSE),"")</f>
        <v>SALE</v>
      </c>
    </row>
    <row r="297" spans="1:21">
      <c r="A297" s="7">
        <v>39</v>
      </c>
      <c r="B297" s="199" t="s">
        <v>132</v>
      </c>
      <c r="C297" s="200" t="s">
        <v>843</v>
      </c>
      <c r="D297" s="7">
        <v>72</v>
      </c>
      <c r="E297" s="72">
        <v>15.55</v>
      </c>
      <c r="H297" s="7">
        <v>6</v>
      </c>
      <c r="I297" s="7">
        <v>3</v>
      </c>
      <c r="J297" s="7">
        <v>0</v>
      </c>
      <c r="K297" s="7">
        <v>1</v>
      </c>
      <c r="L297" s="7">
        <v>30.810000000000002</v>
      </c>
      <c r="M297" s="7">
        <v>32.175000000000004</v>
      </c>
      <c r="N297" s="7">
        <v>5.1892500000000001E-2</v>
      </c>
      <c r="O297" s="7" t="s">
        <v>128</v>
      </c>
      <c r="P297" s="7">
        <v>100</v>
      </c>
      <c r="Q297" s="7" t="s">
        <v>75</v>
      </c>
      <c r="R297" s="21">
        <v>11.68</v>
      </c>
      <c r="S297" s="21">
        <v>911.04</v>
      </c>
      <c r="T297" s="21">
        <v>1119.6000000000001</v>
      </c>
      <c r="U297" s="21" t="str">
        <f>IFERROR(VLOOKUP(salesHistory[[#This Row],[order_no]],orderHistory[],22,FALSE),"")</f>
        <v>SALE</v>
      </c>
    </row>
    <row r="298" spans="1:21">
      <c r="A298" s="7">
        <v>39</v>
      </c>
      <c r="B298" s="199" t="s">
        <v>134</v>
      </c>
      <c r="C298" s="200" t="s">
        <v>135</v>
      </c>
      <c r="D298" s="7">
        <v>72</v>
      </c>
      <c r="E298" s="72">
        <v>15.55</v>
      </c>
      <c r="H298" s="7">
        <v>6</v>
      </c>
      <c r="I298" s="7">
        <v>3</v>
      </c>
      <c r="J298" s="7">
        <v>0</v>
      </c>
      <c r="K298" s="7">
        <v>1</v>
      </c>
      <c r="L298" s="7">
        <v>30.810000000000002</v>
      </c>
      <c r="M298" s="7">
        <v>32.175000000000004</v>
      </c>
      <c r="N298" s="7">
        <v>5.1892500000000001E-2</v>
      </c>
      <c r="O298" s="7" t="s">
        <v>128</v>
      </c>
      <c r="P298" s="7">
        <v>100</v>
      </c>
      <c r="Q298" s="7" t="s">
        <v>75</v>
      </c>
      <c r="R298" s="21">
        <v>11.68</v>
      </c>
      <c r="S298" s="21">
        <v>911.04</v>
      </c>
      <c r="T298" s="21">
        <v>1119.6000000000001</v>
      </c>
      <c r="U298" s="21" t="str">
        <f>IFERROR(VLOOKUP(salesHistory[[#This Row],[order_no]],orderHistory[],22,FALSE),"")</f>
        <v>SALE</v>
      </c>
    </row>
    <row r="299" spans="1:21">
      <c r="A299" s="7">
        <v>39</v>
      </c>
      <c r="B299" s="199" t="s">
        <v>136</v>
      </c>
      <c r="C299" s="200" t="s">
        <v>137</v>
      </c>
      <c r="D299" s="7">
        <v>72</v>
      </c>
      <c r="E299" s="72">
        <v>15.55</v>
      </c>
      <c r="H299" s="7">
        <v>6</v>
      </c>
      <c r="I299" s="7">
        <v>3</v>
      </c>
      <c r="J299" s="7">
        <v>0</v>
      </c>
      <c r="K299" s="7">
        <v>1</v>
      </c>
      <c r="L299" s="7">
        <v>29.639999999999997</v>
      </c>
      <c r="M299" s="7">
        <v>30.875</v>
      </c>
      <c r="N299" s="7">
        <v>5.2593750000000002E-2</v>
      </c>
      <c r="O299" s="7" t="s">
        <v>128</v>
      </c>
      <c r="P299" s="7">
        <v>100</v>
      </c>
      <c r="Q299" s="7" t="s">
        <v>75</v>
      </c>
      <c r="R299" s="21">
        <v>11.68</v>
      </c>
      <c r="S299" s="21">
        <v>911.04</v>
      </c>
      <c r="T299" s="21">
        <v>1119.6000000000001</v>
      </c>
      <c r="U299" s="21" t="str">
        <f>IFERROR(VLOOKUP(salesHistory[[#This Row],[order_no]],orderHistory[],22,FALSE),"")</f>
        <v>SALE</v>
      </c>
    </row>
    <row r="300" spans="1:21">
      <c r="A300" s="7">
        <v>39</v>
      </c>
      <c r="B300" s="199" t="s">
        <v>138</v>
      </c>
      <c r="C300" s="200" t="s">
        <v>139</v>
      </c>
      <c r="D300" s="7">
        <v>72</v>
      </c>
      <c r="E300" s="72">
        <v>15.55</v>
      </c>
      <c r="H300" s="7">
        <v>6</v>
      </c>
      <c r="I300" s="7">
        <v>3</v>
      </c>
      <c r="J300" s="7">
        <v>0</v>
      </c>
      <c r="K300" s="7">
        <v>1</v>
      </c>
      <c r="L300" s="7">
        <v>29.639999999999997</v>
      </c>
      <c r="M300" s="7">
        <v>30.875</v>
      </c>
      <c r="N300" s="7">
        <v>5.2593750000000002E-2</v>
      </c>
      <c r="O300" s="7" t="s">
        <v>128</v>
      </c>
      <c r="P300" s="7">
        <v>100</v>
      </c>
      <c r="Q300" s="7" t="s">
        <v>75</v>
      </c>
      <c r="R300" s="21">
        <v>11.68</v>
      </c>
      <c r="S300" s="21">
        <v>911.04</v>
      </c>
      <c r="T300" s="21">
        <v>1119.6000000000001</v>
      </c>
      <c r="U300" s="21" t="str">
        <f>IFERROR(VLOOKUP(salesHistory[[#This Row],[order_no]],orderHistory[],22,FALSE),"")</f>
        <v>SALE</v>
      </c>
    </row>
    <row r="301" spans="1:21">
      <c r="A301" s="7">
        <v>39</v>
      </c>
      <c r="B301" s="199" t="s">
        <v>140</v>
      </c>
      <c r="C301" s="200" t="s">
        <v>141</v>
      </c>
      <c r="D301" s="7">
        <v>72</v>
      </c>
      <c r="E301" s="72">
        <v>15.55</v>
      </c>
      <c r="H301" s="7">
        <v>6</v>
      </c>
      <c r="I301" s="7">
        <v>3</v>
      </c>
      <c r="J301" s="7">
        <v>0</v>
      </c>
      <c r="K301" s="7">
        <v>1</v>
      </c>
      <c r="L301" s="7">
        <v>29.639999999999997</v>
      </c>
      <c r="M301" s="7">
        <v>30.875</v>
      </c>
      <c r="N301" s="7">
        <v>5.2593750000000002E-2</v>
      </c>
      <c r="O301" s="7" t="s">
        <v>128</v>
      </c>
      <c r="P301" s="7">
        <v>100</v>
      </c>
      <c r="Q301" s="7" t="s">
        <v>75</v>
      </c>
      <c r="R301" s="21">
        <v>11.68</v>
      </c>
      <c r="S301" s="21">
        <v>911.04</v>
      </c>
      <c r="T301" s="21">
        <v>1119.6000000000001</v>
      </c>
      <c r="U301" s="21" t="str">
        <f>IFERROR(VLOOKUP(salesHistory[[#This Row],[order_no]],orderHistory[],22,FALSE),"")</f>
        <v>SALE</v>
      </c>
    </row>
    <row r="302" spans="1:21">
      <c r="A302" s="7">
        <v>39</v>
      </c>
      <c r="B302" s="199" t="s">
        <v>142</v>
      </c>
      <c r="C302" s="200" t="s">
        <v>143</v>
      </c>
      <c r="D302" s="7">
        <v>72</v>
      </c>
      <c r="E302" s="72">
        <v>15.55</v>
      </c>
      <c r="H302" s="7">
        <v>6</v>
      </c>
      <c r="I302" s="7">
        <v>3</v>
      </c>
      <c r="J302" s="7">
        <v>0</v>
      </c>
      <c r="K302" s="7">
        <v>1</v>
      </c>
      <c r="L302" s="7">
        <v>29.639999999999997</v>
      </c>
      <c r="M302" s="7">
        <v>30.875</v>
      </c>
      <c r="N302" s="7">
        <v>5.2593750000000002E-2</v>
      </c>
      <c r="O302" s="7" t="s">
        <v>128</v>
      </c>
      <c r="P302" s="7">
        <v>100</v>
      </c>
      <c r="Q302" s="7" t="s">
        <v>75</v>
      </c>
      <c r="R302" s="21">
        <v>11.68</v>
      </c>
      <c r="S302" s="21">
        <v>911.04</v>
      </c>
      <c r="T302" s="21">
        <v>1119.6000000000001</v>
      </c>
      <c r="U302" s="21" t="str">
        <f>IFERROR(VLOOKUP(salesHistory[[#This Row],[order_no]],orderHistory[],22,FALSE),"")</f>
        <v>SALE</v>
      </c>
    </row>
    <row r="303" spans="1:21">
      <c r="A303" s="7">
        <v>39</v>
      </c>
      <c r="B303" s="199" t="s">
        <v>36</v>
      </c>
      <c r="C303" s="200" t="s">
        <v>39</v>
      </c>
      <c r="D303" s="7">
        <v>48</v>
      </c>
      <c r="E303" s="72">
        <v>7.5</v>
      </c>
      <c r="H303" s="7"/>
      <c r="I303" s="7">
        <v>4</v>
      </c>
      <c r="J303" s="7">
        <v>0</v>
      </c>
      <c r="K303" s="7">
        <v>0</v>
      </c>
      <c r="L303" s="7">
        <v>20.16</v>
      </c>
      <c r="M303" s="7">
        <v>23.16</v>
      </c>
      <c r="N303" s="7">
        <v>0.112332</v>
      </c>
      <c r="O303" s="7" t="s">
        <v>37</v>
      </c>
      <c r="P303" s="7">
        <v>50</v>
      </c>
      <c r="Q303" s="7">
        <v>0</v>
      </c>
      <c r="R303" s="21">
        <v>5.23</v>
      </c>
      <c r="S303" s="21">
        <v>251.04000000000002</v>
      </c>
      <c r="T303" s="21">
        <v>360</v>
      </c>
      <c r="U303" s="21" t="str">
        <f>IFERROR(VLOOKUP(salesHistory[[#This Row],[order_no]],orderHistory[],22,FALSE),"")</f>
        <v>SALE</v>
      </c>
    </row>
    <row r="304" spans="1:21">
      <c r="A304" s="7">
        <v>39</v>
      </c>
      <c r="B304" s="199" t="s">
        <v>42</v>
      </c>
      <c r="C304" s="200" t="s">
        <v>43</v>
      </c>
      <c r="D304" s="7">
        <v>48</v>
      </c>
      <c r="E304" s="72">
        <v>7.5</v>
      </c>
      <c r="H304" s="7"/>
      <c r="I304" s="7">
        <v>4</v>
      </c>
      <c r="J304" s="7">
        <v>0</v>
      </c>
      <c r="K304" s="7">
        <v>0</v>
      </c>
      <c r="L304" s="7">
        <v>20.16</v>
      </c>
      <c r="M304" s="7">
        <v>23.16</v>
      </c>
      <c r="N304" s="7">
        <v>0.112332</v>
      </c>
      <c r="O304" s="7" t="s">
        <v>37</v>
      </c>
      <c r="P304" s="7">
        <v>50</v>
      </c>
      <c r="Q304" s="7">
        <v>0</v>
      </c>
      <c r="R304" s="21">
        <v>5.23</v>
      </c>
      <c r="S304" s="21">
        <v>251.04000000000002</v>
      </c>
      <c r="T304" s="21">
        <v>360</v>
      </c>
      <c r="U304" s="21" t="str">
        <f>IFERROR(VLOOKUP(salesHistory[[#This Row],[order_no]],orderHistory[],22,FALSE),"")</f>
        <v>SALE</v>
      </c>
    </row>
    <row r="305" spans="1:21">
      <c r="A305" s="7">
        <v>39</v>
      </c>
      <c r="B305" s="199" t="s">
        <v>44</v>
      </c>
      <c r="C305" s="200" t="s">
        <v>45</v>
      </c>
      <c r="D305" s="7">
        <v>48</v>
      </c>
      <c r="E305" s="72">
        <v>7.5</v>
      </c>
      <c r="H305" s="7"/>
      <c r="I305" s="7">
        <v>4</v>
      </c>
      <c r="J305" s="7">
        <v>0</v>
      </c>
      <c r="K305" s="7">
        <v>0</v>
      </c>
      <c r="L305" s="7">
        <v>20.16</v>
      </c>
      <c r="M305" s="7">
        <v>23.16</v>
      </c>
      <c r="N305" s="7">
        <v>0.112332</v>
      </c>
      <c r="O305" s="7" t="s">
        <v>37</v>
      </c>
      <c r="P305" s="7">
        <v>50</v>
      </c>
      <c r="Q305" s="7">
        <v>0</v>
      </c>
      <c r="R305" s="21">
        <v>5.23</v>
      </c>
      <c r="S305" s="21">
        <v>251.04000000000002</v>
      </c>
      <c r="T305" s="21">
        <v>360</v>
      </c>
      <c r="U305" s="21" t="str">
        <f>IFERROR(VLOOKUP(salesHistory[[#This Row],[order_no]],orderHistory[],22,FALSE),"")</f>
        <v>SALE</v>
      </c>
    </row>
    <row r="306" spans="1:21">
      <c r="A306" s="7">
        <v>39</v>
      </c>
      <c r="B306" s="199" t="s">
        <v>46</v>
      </c>
      <c r="C306" s="200" t="s">
        <v>47</v>
      </c>
      <c r="D306" s="7">
        <v>48</v>
      </c>
      <c r="E306" s="72">
        <v>7.5</v>
      </c>
      <c r="H306" s="7"/>
      <c r="I306" s="7">
        <v>4</v>
      </c>
      <c r="J306" s="7">
        <v>0</v>
      </c>
      <c r="K306" s="7">
        <v>0</v>
      </c>
      <c r="L306" s="7">
        <v>20.16</v>
      </c>
      <c r="M306" s="7">
        <v>23.16</v>
      </c>
      <c r="N306" s="7">
        <v>0.112332</v>
      </c>
      <c r="O306" s="7" t="s">
        <v>37</v>
      </c>
      <c r="P306" s="7">
        <v>50</v>
      </c>
      <c r="Q306" s="7">
        <v>0</v>
      </c>
      <c r="R306" s="21">
        <v>5.23</v>
      </c>
      <c r="S306" s="21">
        <v>251.04000000000002</v>
      </c>
      <c r="T306" s="21">
        <v>360</v>
      </c>
      <c r="U306" s="21" t="str">
        <f>IFERROR(VLOOKUP(salesHistory[[#This Row],[order_no]],orderHistory[],22,FALSE),"")</f>
        <v>SALE</v>
      </c>
    </row>
    <row r="307" spans="1:21">
      <c r="A307" s="7">
        <v>39</v>
      </c>
      <c r="B307" s="199" t="s">
        <v>48</v>
      </c>
      <c r="C307" s="200" t="s">
        <v>50</v>
      </c>
      <c r="D307" s="7">
        <v>48</v>
      </c>
      <c r="E307" s="72">
        <v>7.5</v>
      </c>
      <c r="H307" s="7"/>
      <c r="I307" s="7">
        <v>4</v>
      </c>
      <c r="J307" s="7">
        <v>0</v>
      </c>
      <c r="K307" s="7">
        <v>0</v>
      </c>
      <c r="L307" s="7">
        <v>19.12</v>
      </c>
      <c r="M307" s="7">
        <v>21</v>
      </c>
      <c r="N307" s="7">
        <v>0.112332</v>
      </c>
      <c r="O307" s="7" t="s">
        <v>37</v>
      </c>
      <c r="P307" s="7">
        <v>50</v>
      </c>
      <c r="Q307" s="7">
        <v>0</v>
      </c>
      <c r="R307" s="21">
        <v>5.23</v>
      </c>
      <c r="S307" s="21">
        <v>251.04000000000002</v>
      </c>
      <c r="T307" s="21">
        <v>360</v>
      </c>
      <c r="U307" s="21" t="str">
        <f>IFERROR(VLOOKUP(salesHistory[[#This Row],[order_no]],orderHistory[],22,FALSE),"")</f>
        <v>SALE</v>
      </c>
    </row>
    <row r="308" spans="1:21">
      <c r="A308" s="7">
        <v>39</v>
      </c>
      <c r="B308" s="199" t="s">
        <v>51</v>
      </c>
      <c r="C308" s="200" t="s">
        <v>52</v>
      </c>
      <c r="D308" s="7">
        <v>48</v>
      </c>
      <c r="E308" s="72">
        <v>7.5</v>
      </c>
      <c r="H308" s="7"/>
      <c r="I308" s="7">
        <v>4</v>
      </c>
      <c r="J308" s="7">
        <v>0</v>
      </c>
      <c r="K308" s="7">
        <v>0</v>
      </c>
      <c r="L308" s="7">
        <v>19.12</v>
      </c>
      <c r="M308" s="7">
        <v>21</v>
      </c>
      <c r="N308" s="7">
        <v>0.112332</v>
      </c>
      <c r="O308" s="7" t="s">
        <v>37</v>
      </c>
      <c r="P308" s="7">
        <v>50</v>
      </c>
      <c r="Q308" s="7">
        <v>0</v>
      </c>
      <c r="R308" s="21">
        <v>5.23</v>
      </c>
      <c r="S308" s="21">
        <v>251.04000000000002</v>
      </c>
      <c r="T308" s="21">
        <v>360</v>
      </c>
      <c r="U308" s="21" t="str">
        <f>IFERROR(VLOOKUP(salesHistory[[#This Row],[order_no]],orderHistory[],22,FALSE),"")</f>
        <v>SALE</v>
      </c>
    </row>
    <row r="309" spans="1:21">
      <c r="A309" s="7">
        <v>39</v>
      </c>
      <c r="B309" s="199" t="s">
        <v>53</v>
      </c>
      <c r="C309" s="200" t="s">
        <v>54</v>
      </c>
      <c r="D309" s="7">
        <v>48</v>
      </c>
      <c r="E309" s="72">
        <v>7.5</v>
      </c>
      <c r="H309" s="7"/>
      <c r="I309" s="7">
        <v>4</v>
      </c>
      <c r="J309" s="7">
        <v>0</v>
      </c>
      <c r="K309" s="7">
        <v>0</v>
      </c>
      <c r="L309" s="7">
        <v>19.12</v>
      </c>
      <c r="M309" s="7">
        <v>21</v>
      </c>
      <c r="N309" s="7">
        <v>0.112332</v>
      </c>
      <c r="O309" s="7" t="s">
        <v>37</v>
      </c>
      <c r="P309" s="7">
        <v>50</v>
      </c>
      <c r="Q309" s="7">
        <v>0</v>
      </c>
      <c r="R309" s="21">
        <v>5.23</v>
      </c>
      <c r="S309" s="21">
        <v>251.04000000000002</v>
      </c>
      <c r="T309" s="21">
        <v>360</v>
      </c>
      <c r="U309" s="21" t="str">
        <f>IFERROR(VLOOKUP(salesHistory[[#This Row],[order_no]],orderHistory[],22,FALSE),"")</f>
        <v>SALE</v>
      </c>
    </row>
    <row r="310" spans="1:21">
      <c r="A310" s="7">
        <v>39</v>
      </c>
      <c r="B310" s="199" t="s">
        <v>55</v>
      </c>
      <c r="C310" s="200" t="s">
        <v>56</v>
      </c>
      <c r="D310" s="7">
        <v>48</v>
      </c>
      <c r="E310" s="72">
        <v>7.5</v>
      </c>
      <c r="H310" s="7"/>
      <c r="I310" s="7">
        <v>4</v>
      </c>
      <c r="J310" s="7">
        <v>0</v>
      </c>
      <c r="K310" s="7">
        <v>0</v>
      </c>
      <c r="L310" s="7">
        <v>19.12</v>
      </c>
      <c r="M310" s="7">
        <v>21</v>
      </c>
      <c r="N310" s="7">
        <v>0.112332</v>
      </c>
      <c r="O310" s="7" t="s">
        <v>37</v>
      </c>
      <c r="P310" s="7">
        <v>50</v>
      </c>
      <c r="Q310" s="7">
        <v>0</v>
      </c>
      <c r="R310" s="21">
        <v>5.23</v>
      </c>
      <c r="S310" s="21">
        <v>251.04000000000002</v>
      </c>
      <c r="T310" s="21">
        <v>360</v>
      </c>
      <c r="U310" s="21" t="str">
        <f>IFERROR(VLOOKUP(salesHistory[[#This Row],[order_no]],orderHistory[],22,FALSE),"")</f>
        <v>SALE</v>
      </c>
    </row>
    <row r="311" spans="1:21">
      <c r="A311" s="7">
        <v>40</v>
      </c>
      <c r="B311" s="199" t="s">
        <v>180</v>
      </c>
      <c r="C311" s="200" t="s">
        <v>181</v>
      </c>
      <c r="D311" s="7">
        <v>10032</v>
      </c>
      <c r="E311" s="72">
        <v>1.06</v>
      </c>
      <c r="H311" s="7"/>
      <c r="I311" s="7">
        <v>209</v>
      </c>
      <c r="J311" s="7">
        <v>0</v>
      </c>
      <c r="K311" s="7">
        <v>0</v>
      </c>
      <c r="L311" s="7">
        <v>1563.3200000000002</v>
      </c>
      <c r="M311" s="7">
        <v>1609.3</v>
      </c>
      <c r="N311" s="7">
        <v>7.1158229999999998</v>
      </c>
      <c r="O311" s="7" t="s">
        <v>170</v>
      </c>
      <c r="P311" s="7">
        <v>175</v>
      </c>
      <c r="Q311" s="7" t="s">
        <v>171</v>
      </c>
      <c r="R311" s="21">
        <v>1.1599999999999999</v>
      </c>
      <c r="S311" s="21">
        <v>11637.119999999999</v>
      </c>
      <c r="T311" s="21">
        <v>10633.92</v>
      </c>
      <c r="U311" s="21" t="str">
        <f>IFERROR(VLOOKUP(salesHistory[[#This Row],[order_no]],orderHistory[],22,FALSE),"")</f>
        <v>SALE</v>
      </c>
    </row>
    <row r="312" spans="1:21">
      <c r="A312" s="7">
        <v>40</v>
      </c>
      <c r="B312" s="199" t="s">
        <v>182</v>
      </c>
      <c r="C312" s="200" t="s">
        <v>183</v>
      </c>
      <c r="D312" s="7">
        <v>10032</v>
      </c>
      <c r="E312" s="72">
        <v>1.06</v>
      </c>
      <c r="H312" s="7"/>
      <c r="I312" s="7">
        <v>209</v>
      </c>
      <c r="J312" s="7">
        <v>0</v>
      </c>
      <c r="K312" s="7">
        <v>0</v>
      </c>
      <c r="L312" s="7">
        <v>1563.3200000000002</v>
      </c>
      <c r="M312" s="7">
        <v>1609.3</v>
      </c>
      <c r="N312" s="7">
        <v>7.1158229999999998</v>
      </c>
      <c r="O312" s="7" t="s">
        <v>170</v>
      </c>
      <c r="P312" s="7">
        <v>175</v>
      </c>
      <c r="Q312" s="7" t="s">
        <v>171</v>
      </c>
      <c r="R312" s="21">
        <v>1.1599999999999999</v>
      </c>
      <c r="S312" s="21">
        <v>11637.119999999999</v>
      </c>
      <c r="T312" s="21">
        <v>10633.92</v>
      </c>
      <c r="U312" s="21" t="str">
        <f>IFERROR(VLOOKUP(salesHistory[[#This Row],[order_no]],orderHistory[],22,FALSE),"")</f>
        <v>SALE</v>
      </c>
    </row>
    <row r="313" spans="1:21">
      <c r="A313" s="7">
        <v>40</v>
      </c>
      <c r="B313" s="199" t="s">
        <v>184</v>
      </c>
      <c r="C313" s="200" t="s">
        <v>185</v>
      </c>
      <c r="D313" s="7">
        <v>10032</v>
      </c>
      <c r="E313" s="72">
        <v>1.06</v>
      </c>
      <c r="H313" s="7"/>
      <c r="I313" s="7">
        <v>209</v>
      </c>
      <c r="J313" s="7">
        <v>0</v>
      </c>
      <c r="K313" s="7">
        <v>0</v>
      </c>
      <c r="L313" s="7">
        <v>1563.3200000000002</v>
      </c>
      <c r="M313" s="7">
        <v>1609.3</v>
      </c>
      <c r="N313" s="7">
        <v>7.1158229999999998</v>
      </c>
      <c r="O313" s="7" t="s">
        <v>170</v>
      </c>
      <c r="P313" s="7">
        <v>175</v>
      </c>
      <c r="Q313" s="7" t="s">
        <v>171</v>
      </c>
      <c r="R313" s="21">
        <v>1.1599999999999999</v>
      </c>
      <c r="S313" s="21">
        <v>11637.119999999999</v>
      </c>
      <c r="T313" s="21">
        <v>10633.92</v>
      </c>
      <c r="U313" s="21" t="str">
        <f>IFERROR(VLOOKUP(salesHistory[[#This Row],[order_no]],orderHistory[],22,FALSE),"")</f>
        <v>SALE</v>
      </c>
    </row>
    <row r="314" spans="1:21">
      <c r="A314" s="7">
        <v>40</v>
      </c>
      <c r="B314" s="199" t="s">
        <v>186</v>
      </c>
      <c r="C314" s="200" t="s">
        <v>187</v>
      </c>
      <c r="D314" s="7">
        <v>10032</v>
      </c>
      <c r="E314" s="72">
        <v>1.06</v>
      </c>
      <c r="H314" s="7"/>
      <c r="I314" s="7">
        <v>209</v>
      </c>
      <c r="J314" s="7">
        <v>0</v>
      </c>
      <c r="K314" s="7">
        <v>0</v>
      </c>
      <c r="L314" s="7">
        <v>1563.3200000000002</v>
      </c>
      <c r="M314" s="7">
        <v>1609.3</v>
      </c>
      <c r="N314" s="7">
        <v>7.1158229999999998</v>
      </c>
      <c r="O314" s="7" t="s">
        <v>170</v>
      </c>
      <c r="P314" s="7">
        <v>175</v>
      </c>
      <c r="Q314" s="7" t="s">
        <v>171</v>
      </c>
      <c r="R314" s="21">
        <v>1.1599999999999999</v>
      </c>
      <c r="S314" s="21">
        <v>11637.119999999999</v>
      </c>
      <c r="T314" s="21">
        <v>10633.92</v>
      </c>
      <c r="U314" s="21" t="str">
        <f>IFERROR(VLOOKUP(salesHistory[[#This Row],[order_no]],orderHistory[],22,FALSE),"")</f>
        <v>SALE</v>
      </c>
    </row>
    <row r="315" spans="1:21">
      <c r="A315" s="7">
        <v>40</v>
      </c>
      <c r="B315" s="199" t="s">
        <v>178</v>
      </c>
      <c r="C315" s="200" t="s">
        <v>179</v>
      </c>
      <c r="D315" s="7">
        <v>10032</v>
      </c>
      <c r="E315" s="72">
        <v>1.03</v>
      </c>
      <c r="H315" s="7"/>
      <c r="I315" s="7">
        <v>209</v>
      </c>
      <c r="J315" s="7">
        <v>0</v>
      </c>
      <c r="K315" s="7">
        <v>0</v>
      </c>
      <c r="L315" s="7">
        <v>1314.192</v>
      </c>
      <c r="M315" s="7">
        <v>1470.5239999999999</v>
      </c>
      <c r="N315" s="7">
        <v>5.4841600000000001</v>
      </c>
      <c r="O315" s="7" t="s">
        <v>170</v>
      </c>
      <c r="P315" s="7">
        <v>150</v>
      </c>
      <c r="Q315" s="7" t="s">
        <v>171</v>
      </c>
      <c r="R315" s="21">
        <v>0.81499999999999995</v>
      </c>
      <c r="S315" s="21">
        <v>8176.079999999999</v>
      </c>
      <c r="T315" s="21">
        <v>10332.960000000001</v>
      </c>
      <c r="U315" s="21" t="str">
        <f>IFERROR(VLOOKUP(salesHistory[[#This Row],[order_no]],orderHistory[],22,FALSE),"")</f>
        <v>SALE</v>
      </c>
    </row>
    <row r="316" spans="1:21">
      <c r="A316" s="7">
        <v>40</v>
      </c>
      <c r="B316" s="199" t="s">
        <v>127</v>
      </c>
      <c r="C316" s="200" t="s">
        <v>129</v>
      </c>
      <c r="D316" s="7">
        <v>360</v>
      </c>
      <c r="E316" s="72">
        <v>14.53</v>
      </c>
      <c r="H316" s="7">
        <v>52</v>
      </c>
      <c r="I316" s="7">
        <v>15</v>
      </c>
      <c r="J316" s="7">
        <v>0</v>
      </c>
      <c r="K316" s="7">
        <v>3</v>
      </c>
      <c r="L316" s="7">
        <v>162.74</v>
      </c>
      <c r="M316" s="7">
        <v>169.95000000000002</v>
      </c>
      <c r="N316" s="7">
        <v>0.25946249999999998</v>
      </c>
      <c r="O316" s="7" t="s">
        <v>128</v>
      </c>
      <c r="P316" s="7">
        <v>100</v>
      </c>
      <c r="Q316" s="7" t="s">
        <v>75</v>
      </c>
      <c r="R316" s="21">
        <v>11.68</v>
      </c>
      <c r="S316" s="21">
        <v>4812.16</v>
      </c>
      <c r="T316" s="21">
        <v>5230.8</v>
      </c>
      <c r="U316" s="21" t="str">
        <f>IFERROR(VLOOKUP(salesHistory[[#This Row],[order_no]],orderHistory[],22,FALSE),"")</f>
        <v>SALE</v>
      </c>
    </row>
    <row r="317" spans="1:21">
      <c r="A317" s="7">
        <v>40</v>
      </c>
      <c r="B317" s="199" t="s">
        <v>130</v>
      </c>
      <c r="C317" s="200" t="s">
        <v>131</v>
      </c>
      <c r="D317" s="7">
        <v>360</v>
      </c>
      <c r="E317" s="72">
        <v>14.53</v>
      </c>
      <c r="H317" s="7">
        <v>51</v>
      </c>
      <c r="I317" s="7">
        <v>15</v>
      </c>
      <c r="J317" s="7">
        <v>0</v>
      </c>
      <c r="K317" s="7">
        <v>3</v>
      </c>
      <c r="L317" s="7">
        <v>162.345</v>
      </c>
      <c r="M317" s="7">
        <v>169.53749999999999</v>
      </c>
      <c r="N317" s="7">
        <v>0.25946249999999998</v>
      </c>
      <c r="O317" s="7" t="s">
        <v>128</v>
      </c>
      <c r="P317" s="7">
        <v>100</v>
      </c>
      <c r="Q317" s="7" t="s">
        <v>75</v>
      </c>
      <c r="R317" s="21">
        <v>11.68</v>
      </c>
      <c r="S317" s="21">
        <v>4800.4799999999996</v>
      </c>
      <c r="T317" s="21">
        <v>5230.8</v>
      </c>
      <c r="U317" s="21" t="str">
        <f>IFERROR(VLOOKUP(salesHistory[[#This Row],[order_no]],orderHistory[],22,FALSE),"")</f>
        <v>SALE</v>
      </c>
    </row>
    <row r="318" spans="1:21">
      <c r="A318" s="7">
        <v>40</v>
      </c>
      <c r="B318" s="199" t="s">
        <v>132</v>
      </c>
      <c r="C318" s="200" t="s">
        <v>843</v>
      </c>
      <c r="D318" s="7">
        <v>360</v>
      </c>
      <c r="E318" s="72">
        <v>14.53</v>
      </c>
      <c r="H318" s="7">
        <v>52</v>
      </c>
      <c r="I318" s="7">
        <v>15</v>
      </c>
      <c r="J318" s="7">
        <v>0</v>
      </c>
      <c r="K318" s="7">
        <v>3</v>
      </c>
      <c r="L318" s="7">
        <v>162.74</v>
      </c>
      <c r="M318" s="7">
        <v>169.95000000000002</v>
      </c>
      <c r="N318" s="7">
        <v>0.25946249999999998</v>
      </c>
      <c r="O318" s="7" t="s">
        <v>128</v>
      </c>
      <c r="P318" s="7">
        <v>100</v>
      </c>
      <c r="Q318" s="7" t="s">
        <v>75</v>
      </c>
      <c r="R318" s="21">
        <v>11.68</v>
      </c>
      <c r="S318" s="21">
        <v>4812.16</v>
      </c>
      <c r="T318" s="21">
        <v>5230.8</v>
      </c>
      <c r="U318" s="21" t="str">
        <f>IFERROR(VLOOKUP(salesHistory[[#This Row],[order_no]],orderHistory[],22,FALSE),"")</f>
        <v>SALE</v>
      </c>
    </row>
    <row r="319" spans="1:21">
      <c r="A319" s="7">
        <v>40</v>
      </c>
      <c r="B319" s="199" t="s">
        <v>134</v>
      </c>
      <c r="C319" s="200" t="s">
        <v>135</v>
      </c>
      <c r="D319" s="7">
        <v>360</v>
      </c>
      <c r="E319" s="72">
        <v>14.53</v>
      </c>
      <c r="H319" s="7">
        <v>51</v>
      </c>
      <c r="I319" s="7">
        <v>15</v>
      </c>
      <c r="J319" s="7">
        <v>0</v>
      </c>
      <c r="K319" s="7">
        <v>3</v>
      </c>
      <c r="L319" s="7">
        <v>162.345</v>
      </c>
      <c r="M319" s="7">
        <v>169.53749999999999</v>
      </c>
      <c r="N319" s="7">
        <v>0.25946249999999998</v>
      </c>
      <c r="O319" s="7" t="s">
        <v>128</v>
      </c>
      <c r="P319" s="7">
        <v>100</v>
      </c>
      <c r="Q319" s="7" t="s">
        <v>75</v>
      </c>
      <c r="R319" s="21">
        <v>11.68</v>
      </c>
      <c r="S319" s="21">
        <v>4800.4799999999996</v>
      </c>
      <c r="T319" s="21">
        <v>5230.8</v>
      </c>
      <c r="U319" s="21" t="str">
        <f>IFERROR(VLOOKUP(salesHistory[[#This Row],[order_no]],orderHistory[],22,FALSE),"")</f>
        <v>SALE</v>
      </c>
    </row>
    <row r="320" spans="1:21">
      <c r="A320" s="7">
        <v>40</v>
      </c>
      <c r="B320" s="199" t="s">
        <v>136</v>
      </c>
      <c r="C320" s="200" t="s">
        <v>137</v>
      </c>
      <c r="D320" s="7">
        <v>420</v>
      </c>
      <c r="E320" s="72">
        <v>14.53</v>
      </c>
      <c r="H320" s="7">
        <v>60</v>
      </c>
      <c r="I320" s="7">
        <v>18</v>
      </c>
      <c r="J320" s="7">
        <v>0</v>
      </c>
      <c r="K320" s="7">
        <v>3</v>
      </c>
      <c r="L320" s="7">
        <v>182.39999999999998</v>
      </c>
      <c r="M320" s="7">
        <v>190</v>
      </c>
      <c r="N320" s="7">
        <v>0.30679687500000002</v>
      </c>
      <c r="O320" s="7" t="s">
        <v>128</v>
      </c>
      <c r="P320" s="7">
        <v>100</v>
      </c>
      <c r="Q320" s="7" t="s">
        <v>75</v>
      </c>
      <c r="R320" s="21">
        <v>11.68</v>
      </c>
      <c r="S320" s="21">
        <v>5606.4</v>
      </c>
      <c r="T320" s="21">
        <v>6102.5999999999995</v>
      </c>
      <c r="U320" s="21" t="str">
        <f>IFERROR(VLOOKUP(salesHistory[[#This Row],[order_no]],orderHistory[],22,FALSE),"")</f>
        <v>SALE</v>
      </c>
    </row>
    <row r="321" spans="1:21">
      <c r="A321" s="7">
        <v>40</v>
      </c>
      <c r="B321" s="199" t="s">
        <v>138</v>
      </c>
      <c r="C321" s="200" t="s">
        <v>139</v>
      </c>
      <c r="D321" s="7">
        <v>360</v>
      </c>
      <c r="E321" s="72">
        <v>14.53</v>
      </c>
      <c r="H321" s="7">
        <v>52</v>
      </c>
      <c r="I321" s="7">
        <v>15</v>
      </c>
      <c r="J321" s="7">
        <v>0</v>
      </c>
      <c r="K321" s="7">
        <v>3</v>
      </c>
      <c r="L321" s="7">
        <v>156.56</v>
      </c>
      <c r="M321" s="7">
        <v>163.08333333333334</v>
      </c>
      <c r="N321" s="7">
        <v>0.26296874999999997</v>
      </c>
      <c r="O321" s="7" t="s">
        <v>128</v>
      </c>
      <c r="P321" s="7">
        <v>100</v>
      </c>
      <c r="Q321" s="7" t="s">
        <v>75</v>
      </c>
      <c r="R321" s="21">
        <v>11.68</v>
      </c>
      <c r="S321" s="21">
        <v>4812.16</v>
      </c>
      <c r="T321" s="21">
        <v>5230.8</v>
      </c>
      <c r="U321" s="21" t="str">
        <f>IFERROR(VLOOKUP(salesHistory[[#This Row],[order_no]],orderHistory[],22,FALSE),"")</f>
        <v>SALE</v>
      </c>
    </row>
    <row r="322" spans="1:21">
      <c r="A322" s="7">
        <v>40</v>
      </c>
      <c r="B322" s="199" t="s">
        <v>140</v>
      </c>
      <c r="C322" s="200" t="s">
        <v>141</v>
      </c>
      <c r="D322" s="7">
        <v>360</v>
      </c>
      <c r="E322" s="72">
        <v>14.53</v>
      </c>
      <c r="H322" s="7">
        <v>51</v>
      </c>
      <c r="I322" s="7">
        <v>15</v>
      </c>
      <c r="J322" s="7">
        <v>0</v>
      </c>
      <c r="K322" s="7">
        <v>3</v>
      </c>
      <c r="L322" s="7">
        <v>156.17999999999998</v>
      </c>
      <c r="M322" s="7">
        <v>162.6875</v>
      </c>
      <c r="N322" s="7">
        <v>0.26296874999999997</v>
      </c>
      <c r="O322" s="7" t="s">
        <v>128</v>
      </c>
      <c r="P322" s="7">
        <v>100</v>
      </c>
      <c r="Q322" s="7" t="s">
        <v>75</v>
      </c>
      <c r="R322" s="21">
        <v>11.68</v>
      </c>
      <c r="S322" s="21">
        <v>4800.4799999999996</v>
      </c>
      <c r="T322" s="21">
        <v>5230.8</v>
      </c>
      <c r="U322" s="21" t="str">
        <f>IFERROR(VLOOKUP(salesHistory[[#This Row],[order_no]],orderHistory[],22,FALSE),"")</f>
        <v>SALE</v>
      </c>
    </row>
    <row r="323" spans="1:21">
      <c r="A323" s="7">
        <v>40</v>
      </c>
      <c r="B323" s="199" t="s">
        <v>142</v>
      </c>
      <c r="C323" s="200" t="s">
        <v>143</v>
      </c>
      <c r="D323" s="7">
        <v>360</v>
      </c>
      <c r="E323" s="72">
        <v>14.53</v>
      </c>
      <c r="H323" s="7">
        <v>51</v>
      </c>
      <c r="I323" s="7">
        <v>15</v>
      </c>
      <c r="J323" s="7">
        <v>0</v>
      </c>
      <c r="K323" s="7">
        <v>3</v>
      </c>
      <c r="L323" s="7">
        <v>156.17999999999998</v>
      </c>
      <c r="M323" s="7">
        <v>162.6875</v>
      </c>
      <c r="N323" s="7">
        <v>0.26296874999999997</v>
      </c>
      <c r="O323" s="7" t="s">
        <v>128</v>
      </c>
      <c r="P323" s="7">
        <v>100</v>
      </c>
      <c r="Q323" s="7" t="s">
        <v>75</v>
      </c>
      <c r="R323" s="21">
        <v>11.68</v>
      </c>
      <c r="S323" s="21">
        <v>4800.4799999999996</v>
      </c>
      <c r="T323" s="21">
        <v>5230.8</v>
      </c>
      <c r="U323" s="21" t="str">
        <f>IFERROR(VLOOKUP(salesHistory[[#This Row],[order_no]],orderHistory[],22,FALSE),"")</f>
        <v>SALE</v>
      </c>
    </row>
    <row r="324" spans="1:21">
      <c r="A324" s="7">
        <v>40</v>
      </c>
      <c r="B324" s="199" t="s">
        <v>201</v>
      </c>
      <c r="C324" s="200" t="s">
        <v>203</v>
      </c>
      <c r="D324" s="7">
        <v>25008</v>
      </c>
      <c r="E324" s="72">
        <v>1</v>
      </c>
      <c r="H324" s="7"/>
      <c r="I324" s="7">
        <v>521</v>
      </c>
      <c r="J324" s="7">
        <v>0</v>
      </c>
      <c r="K324" s="7">
        <v>0</v>
      </c>
      <c r="L324" s="7">
        <v>0</v>
      </c>
      <c r="M324" s="7">
        <v>0</v>
      </c>
      <c r="N324" s="7">
        <v>0</v>
      </c>
      <c r="O324" s="7" t="s">
        <v>202</v>
      </c>
      <c r="P324" s="7">
        <v>0</v>
      </c>
      <c r="Q324" s="7">
        <v>0</v>
      </c>
      <c r="R324" s="21">
        <v>0.93</v>
      </c>
      <c r="S324" s="21">
        <v>23257.440000000002</v>
      </c>
      <c r="T324" s="21">
        <v>25008</v>
      </c>
      <c r="U324" s="21" t="str">
        <f>IFERROR(VLOOKUP(salesHistory[[#This Row],[order_no]],orderHistory[],22,FALSE),"")</f>
        <v>SALE</v>
      </c>
    </row>
    <row r="325" spans="1:21">
      <c r="A325" s="439">
        <v>40</v>
      </c>
      <c r="B325" s="440" t="s">
        <v>208</v>
      </c>
      <c r="C325" s="441" t="s">
        <v>209</v>
      </c>
      <c r="D325" s="439">
        <v>50004</v>
      </c>
      <c r="E325" s="442">
        <v>1</v>
      </c>
      <c r="F325" s="443"/>
      <c r="G325" s="442"/>
      <c r="H325" s="439"/>
      <c r="I325" s="439">
        <v>1042</v>
      </c>
      <c r="J325" s="439">
        <v>0</v>
      </c>
      <c r="K325" s="439">
        <v>0</v>
      </c>
      <c r="L325" s="439">
        <v>0</v>
      </c>
      <c r="M325" s="439">
        <v>0</v>
      </c>
      <c r="N325" s="439">
        <v>0</v>
      </c>
      <c r="O325" s="439" t="s">
        <v>202</v>
      </c>
      <c r="P325" s="439">
        <v>0</v>
      </c>
      <c r="Q325" s="439">
        <v>0</v>
      </c>
      <c r="R325" s="444">
        <v>0.93</v>
      </c>
      <c r="S325" s="444">
        <v>46503.72</v>
      </c>
      <c r="T325" s="444">
        <v>50004</v>
      </c>
      <c r="U325" s="444" t="str">
        <f>IFERROR(VLOOKUP(salesHistory[[#This Row],[order_no]],orderHistory[],22,FALSE),"")</f>
        <v>SALE</v>
      </c>
    </row>
    <row r="326" spans="1:21">
      <c r="A326" s="7">
        <v>41</v>
      </c>
      <c r="B326" s="199" t="s">
        <v>127</v>
      </c>
      <c r="C326" s="200" t="s">
        <v>129</v>
      </c>
      <c r="D326" s="7">
        <v>48</v>
      </c>
      <c r="E326" s="72">
        <v>15.849721162312886</v>
      </c>
      <c r="H326" s="7"/>
      <c r="I326" s="7">
        <v>2</v>
      </c>
      <c r="J326" s="7">
        <v>0</v>
      </c>
      <c r="K326" s="7">
        <v>0</v>
      </c>
      <c r="L326" s="7">
        <v>18.96</v>
      </c>
      <c r="M326" s="7">
        <v>19.8</v>
      </c>
      <c r="N326" s="7">
        <v>3.4595000000000001E-2</v>
      </c>
      <c r="O326" s="7" t="s">
        <v>128</v>
      </c>
      <c r="P326" s="7">
        <v>100</v>
      </c>
      <c r="Q326" s="7" t="s">
        <v>75</v>
      </c>
      <c r="R326" s="21">
        <v>11.68</v>
      </c>
      <c r="S326" s="21">
        <v>560.64</v>
      </c>
      <c r="T326" s="21">
        <v>760.78661579101845</v>
      </c>
      <c r="U326" s="21" t="str">
        <f>IFERROR(VLOOKUP(salesHistory[[#This Row],[order_no]],orderHistory[],22,FALSE),"")</f>
        <v>SALE</v>
      </c>
    </row>
    <row r="327" spans="1:21">
      <c r="A327" s="7">
        <v>41</v>
      </c>
      <c r="B327" s="199" t="s">
        <v>130</v>
      </c>
      <c r="C327" s="200" t="s">
        <v>131</v>
      </c>
      <c r="D327" s="7">
        <v>48</v>
      </c>
      <c r="E327" s="72">
        <v>15.849721162312886</v>
      </c>
      <c r="H327" s="7"/>
      <c r="I327" s="7">
        <v>2</v>
      </c>
      <c r="J327" s="7">
        <v>0</v>
      </c>
      <c r="K327" s="7">
        <v>0</v>
      </c>
      <c r="L327" s="7">
        <v>18.96</v>
      </c>
      <c r="M327" s="7">
        <v>19.8</v>
      </c>
      <c r="N327" s="7">
        <v>3.4595000000000001E-2</v>
      </c>
      <c r="O327" s="7" t="s">
        <v>128</v>
      </c>
      <c r="P327" s="7">
        <v>100</v>
      </c>
      <c r="Q327" s="7" t="s">
        <v>75</v>
      </c>
      <c r="R327" s="21">
        <v>11.68</v>
      </c>
      <c r="S327" s="21">
        <v>560.64</v>
      </c>
      <c r="T327" s="21">
        <v>760.78661579101845</v>
      </c>
      <c r="U327" s="21" t="str">
        <f>IFERROR(VLOOKUP(salesHistory[[#This Row],[order_no]],orderHistory[],22,FALSE),"")</f>
        <v>SALE</v>
      </c>
    </row>
    <row r="328" spans="1:21">
      <c r="A328" s="7">
        <v>41</v>
      </c>
      <c r="B328" s="199" t="s">
        <v>132</v>
      </c>
      <c r="C328" s="200" t="s">
        <v>843</v>
      </c>
      <c r="D328" s="7">
        <v>48</v>
      </c>
      <c r="E328" s="72">
        <v>15.849721162312886</v>
      </c>
      <c r="H328" s="7"/>
      <c r="I328" s="7">
        <v>2</v>
      </c>
      <c r="J328" s="7">
        <v>0</v>
      </c>
      <c r="K328" s="7">
        <v>0</v>
      </c>
      <c r="L328" s="7">
        <v>18.96</v>
      </c>
      <c r="M328" s="7">
        <v>19.8</v>
      </c>
      <c r="N328" s="7">
        <v>3.4595000000000001E-2</v>
      </c>
      <c r="O328" s="7" t="s">
        <v>128</v>
      </c>
      <c r="P328" s="7">
        <v>100</v>
      </c>
      <c r="Q328" s="7" t="s">
        <v>75</v>
      </c>
      <c r="R328" s="21">
        <v>11.68</v>
      </c>
      <c r="S328" s="21">
        <v>560.64</v>
      </c>
      <c r="T328" s="21">
        <v>760.78661579101845</v>
      </c>
      <c r="U328" s="21" t="str">
        <f>IFERROR(VLOOKUP(salesHistory[[#This Row],[order_no]],orderHistory[],22,FALSE),"")</f>
        <v>SALE</v>
      </c>
    </row>
    <row r="329" spans="1:21">
      <c r="A329" s="7">
        <v>41</v>
      </c>
      <c r="B329" s="199" t="s">
        <v>134</v>
      </c>
      <c r="C329" s="200" t="s">
        <v>135</v>
      </c>
      <c r="D329" s="7">
        <v>48</v>
      </c>
      <c r="E329" s="72">
        <v>15.849721162312886</v>
      </c>
      <c r="H329" s="7"/>
      <c r="I329" s="7">
        <v>2</v>
      </c>
      <c r="J329" s="7">
        <v>0</v>
      </c>
      <c r="K329" s="7">
        <v>0</v>
      </c>
      <c r="L329" s="7">
        <v>18.96</v>
      </c>
      <c r="M329" s="7">
        <v>19.8</v>
      </c>
      <c r="N329" s="7">
        <v>3.4595000000000001E-2</v>
      </c>
      <c r="O329" s="7" t="s">
        <v>128</v>
      </c>
      <c r="P329" s="7">
        <v>100</v>
      </c>
      <c r="Q329" s="7" t="s">
        <v>75</v>
      </c>
      <c r="R329" s="21">
        <v>11.68</v>
      </c>
      <c r="S329" s="21">
        <v>560.64</v>
      </c>
      <c r="T329" s="21">
        <v>760.78661579101845</v>
      </c>
      <c r="U329" s="21" t="str">
        <f>IFERROR(VLOOKUP(salesHistory[[#This Row],[order_no]],orderHistory[],22,FALSE),"")</f>
        <v>SALE</v>
      </c>
    </row>
    <row r="330" spans="1:21">
      <c r="A330" s="7">
        <v>41</v>
      </c>
      <c r="B330" s="199" t="s">
        <v>136</v>
      </c>
      <c r="C330" s="200" t="s">
        <v>137</v>
      </c>
      <c r="D330" s="7">
        <v>48</v>
      </c>
      <c r="E330" s="72">
        <v>15.849721162312886</v>
      </c>
      <c r="H330" s="7"/>
      <c r="I330" s="7">
        <v>2</v>
      </c>
      <c r="J330" s="7">
        <v>0</v>
      </c>
      <c r="K330" s="7">
        <v>0</v>
      </c>
      <c r="L330" s="7">
        <v>18.239999999999998</v>
      </c>
      <c r="M330" s="7">
        <v>19</v>
      </c>
      <c r="N330" s="7">
        <v>3.5062500000000003E-2</v>
      </c>
      <c r="O330" s="7" t="s">
        <v>128</v>
      </c>
      <c r="P330" s="7">
        <v>100</v>
      </c>
      <c r="Q330" s="7" t="s">
        <v>75</v>
      </c>
      <c r="R330" s="21">
        <v>11.68</v>
      </c>
      <c r="S330" s="21">
        <v>560.64</v>
      </c>
      <c r="T330" s="21">
        <v>760.78661579101845</v>
      </c>
      <c r="U330" s="21" t="str">
        <f>IFERROR(VLOOKUP(salesHistory[[#This Row],[order_no]],orderHistory[],22,FALSE),"")</f>
        <v>SALE</v>
      </c>
    </row>
    <row r="331" spans="1:21">
      <c r="A331" s="7">
        <v>41</v>
      </c>
      <c r="B331" s="199" t="s">
        <v>138</v>
      </c>
      <c r="C331" s="200" t="s">
        <v>139</v>
      </c>
      <c r="D331" s="7">
        <v>48</v>
      </c>
      <c r="E331" s="72">
        <v>15.849721162312886</v>
      </c>
      <c r="H331" s="7"/>
      <c r="I331" s="7">
        <v>2</v>
      </c>
      <c r="J331" s="7">
        <v>0</v>
      </c>
      <c r="K331" s="7">
        <v>0</v>
      </c>
      <c r="L331" s="7">
        <v>18.239999999999998</v>
      </c>
      <c r="M331" s="7">
        <v>19</v>
      </c>
      <c r="N331" s="7">
        <v>3.5062500000000003E-2</v>
      </c>
      <c r="O331" s="7" t="s">
        <v>128</v>
      </c>
      <c r="P331" s="7">
        <v>100</v>
      </c>
      <c r="Q331" s="7" t="s">
        <v>75</v>
      </c>
      <c r="R331" s="21">
        <v>11.68</v>
      </c>
      <c r="S331" s="21">
        <v>560.64</v>
      </c>
      <c r="T331" s="21">
        <v>760.78661579101845</v>
      </c>
      <c r="U331" s="21" t="str">
        <f>IFERROR(VLOOKUP(salesHistory[[#This Row],[order_no]],orderHistory[],22,FALSE),"")</f>
        <v>SALE</v>
      </c>
    </row>
    <row r="332" spans="1:21">
      <c r="A332" s="7">
        <v>41</v>
      </c>
      <c r="B332" s="199" t="s">
        <v>140</v>
      </c>
      <c r="C332" s="200" t="s">
        <v>141</v>
      </c>
      <c r="D332" s="7">
        <v>48</v>
      </c>
      <c r="E332" s="72">
        <v>15.849721162312886</v>
      </c>
      <c r="H332" s="7"/>
      <c r="I332" s="7">
        <v>2</v>
      </c>
      <c r="J332" s="7">
        <v>0</v>
      </c>
      <c r="K332" s="7">
        <v>0</v>
      </c>
      <c r="L332" s="7">
        <v>18.239999999999998</v>
      </c>
      <c r="M332" s="7">
        <v>19</v>
      </c>
      <c r="N332" s="7">
        <v>3.5062500000000003E-2</v>
      </c>
      <c r="O332" s="7" t="s">
        <v>128</v>
      </c>
      <c r="P332" s="7">
        <v>100</v>
      </c>
      <c r="Q332" s="7" t="s">
        <v>75</v>
      </c>
      <c r="R332" s="21">
        <v>11.68</v>
      </c>
      <c r="S332" s="21">
        <v>560.64</v>
      </c>
      <c r="T332" s="21">
        <v>760.78661579101845</v>
      </c>
      <c r="U332" s="21" t="str">
        <f>IFERROR(VLOOKUP(salesHistory[[#This Row],[order_no]],orderHistory[],22,FALSE),"")</f>
        <v>SALE</v>
      </c>
    </row>
    <row r="333" spans="1:21">
      <c r="A333" s="7">
        <v>41</v>
      </c>
      <c r="B333" s="199" t="s">
        <v>142</v>
      </c>
      <c r="C333" s="200" t="s">
        <v>143</v>
      </c>
      <c r="D333" s="7">
        <v>48</v>
      </c>
      <c r="E333" s="72">
        <v>15.849721162312886</v>
      </c>
      <c r="H333" s="7"/>
      <c r="I333" s="7">
        <v>2</v>
      </c>
      <c r="J333" s="7">
        <v>0</v>
      </c>
      <c r="K333" s="7">
        <v>0</v>
      </c>
      <c r="L333" s="7">
        <v>18.239999999999998</v>
      </c>
      <c r="M333" s="7">
        <v>19</v>
      </c>
      <c r="N333" s="7">
        <v>3.5062500000000003E-2</v>
      </c>
      <c r="O333" s="7" t="s">
        <v>128</v>
      </c>
      <c r="P333" s="7">
        <v>100</v>
      </c>
      <c r="Q333" s="7" t="s">
        <v>75</v>
      </c>
      <c r="R333" s="21">
        <v>11.68</v>
      </c>
      <c r="S333" s="21">
        <v>560.64</v>
      </c>
      <c r="T333" s="21">
        <v>760.78661579101845</v>
      </c>
      <c r="U333" s="21" t="str">
        <f>IFERROR(VLOOKUP(salesHistory[[#This Row],[order_no]],orderHistory[],22,FALSE),"")</f>
        <v>SALE</v>
      </c>
    </row>
    <row r="334" spans="1:21">
      <c r="A334" s="7">
        <v>41</v>
      </c>
      <c r="B334" s="199" t="s">
        <v>161</v>
      </c>
      <c r="C334" s="200" t="s">
        <v>162</v>
      </c>
      <c r="D334" s="7">
        <v>48</v>
      </c>
      <c r="E334" s="72">
        <v>15.849721162312886</v>
      </c>
      <c r="H334" s="7"/>
      <c r="I334" s="7">
        <v>2</v>
      </c>
      <c r="J334" s="7">
        <v>0</v>
      </c>
      <c r="K334" s="7">
        <v>0</v>
      </c>
      <c r="L334" s="7">
        <v>18.96</v>
      </c>
      <c r="M334" s="7">
        <v>19.8</v>
      </c>
      <c r="N334" s="7">
        <v>3.4595000000000001E-2</v>
      </c>
      <c r="O334" s="7" t="s">
        <v>128</v>
      </c>
      <c r="P334" s="7">
        <v>100</v>
      </c>
      <c r="Q334" s="7" t="s">
        <v>75</v>
      </c>
      <c r="R334" s="21">
        <v>11.68</v>
      </c>
      <c r="S334" s="21">
        <v>560.64</v>
      </c>
      <c r="T334" s="21">
        <v>760.78661579101845</v>
      </c>
      <c r="U334" s="21" t="str">
        <f>IFERROR(VLOOKUP(salesHistory[[#This Row],[order_no]],orderHistory[],22,FALSE),"")</f>
        <v>SALE</v>
      </c>
    </row>
    <row r="335" spans="1:21">
      <c r="A335" s="439">
        <v>41</v>
      </c>
      <c r="B335" s="440" t="s">
        <v>163</v>
      </c>
      <c r="C335" s="441" t="s">
        <v>164</v>
      </c>
      <c r="D335" s="439">
        <v>48</v>
      </c>
      <c r="E335" s="442">
        <v>15.849721162312886</v>
      </c>
      <c r="F335" s="443"/>
      <c r="G335" s="442"/>
      <c r="H335" s="439"/>
      <c r="I335" s="439">
        <v>2</v>
      </c>
      <c r="J335" s="439">
        <v>0</v>
      </c>
      <c r="K335" s="439">
        <v>0</v>
      </c>
      <c r="L335" s="439">
        <v>18.96</v>
      </c>
      <c r="M335" s="439">
        <v>19.8</v>
      </c>
      <c r="N335" s="439">
        <v>3.4595000000000001E-2</v>
      </c>
      <c r="O335" s="439" t="s">
        <v>128</v>
      </c>
      <c r="P335" s="439">
        <v>100</v>
      </c>
      <c r="Q335" s="439" t="s">
        <v>75</v>
      </c>
      <c r="R335" s="444">
        <v>11.68</v>
      </c>
      <c r="S335" s="444">
        <v>560.64</v>
      </c>
      <c r="T335" s="444">
        <v>760.78661579101845</v>
      </c>
      <c r="U335" s="444" t="str">
        <f>IFERROR(VLOOKUP(salesHistory[[#This Row],[order_no]],orderHistory[],22,FALSE),"")</f>
        <v>SALE</v>
      </c>
    </row>
    <row r="336" spans="1:21">
      <c r="A336" s="7">
        <v>42</v>
      </c>
      <c r="B336" s="199" t="s">
        <v>73</v>
      </c>
      <c r="C336" s="200" t="s">
        <v>76</v>
      </c>
      <c r="D336" s="7">
        <v>3316</v>
      </c>
      <c r="E336" s="72">
        <v>4.4139999999999997</v>
      </c>
      <c r="H336" s="7">
        <v>4</v>
      </c>
      <c r="I336" s="7">
        <v>139</v>
      </c>
      <c r="J336" s="7">
        <v>0</v>
      </c>
      <c r="K336" s="7">
        <v>1</v>
      </c>
      <c r="L336" s="7">
        <v>664</v>
      </c>
      <c r="M336" s="7">
        <v>719.33333333333337</v>
      </c>
      <c r="N336" s="7">
        <v>1.99478125</v>
      </c>
      <c r="O336" s="7" t="s">
        <v>74</v>
      </c>
      <c r="P336" s="7">
        <v>50</v>
      </c>
      <c r="Q336" s="7" t="s">
        <v>75</v>
      </c>
      <c r="R336" s="21" t="s">
        <v>1142</v>
      </c>
      <c r="S336" s="21" t="s">
        <v>1142</v>
      </c>
      <c r="T336" s="21">
        <v>14636.823999999999</v>
      </c>
      <c r="U336" s="21" t="str">
        <f>IFERROR(VLOOKUP(salesHistory[[#This Row],[order_no]],orderHistory[],22,FALSE),"")</f>
        <v>SUPPLY</v>
      </c>
    </row>
    <row r="337" spans="1:21">
      <c r="A337" s="439">
        <v>42</v>
      </c>
      <c r="B337" s="440" t="s">
        <v>80</v>
      </c>
      <c r="C337" s="441" t="s">
        <v>81</v>
      </c>
      <c r="D337" s="439">
        <v>4352</v>
      </c>
      <c r="E337" s="442">
        <v>4.4139999999999997</v>
      </c>
      <c r="F337" s="443"/>
      <c r="G337" s="442"/>
      <c r="H337" s="439"/>
      <c r="I337" s="439">
        <v>182</v>
      </c>
      <c r="J337" s="439">
        <v>0</v>
      </c>
      <c r="K337" s="439">
        <v>0</v>
      </c>
      <c r="L337" s="439">
        <v>870.4</v>
      </c>
      <c r="M337" s="439">
        <v>942.93333333333339</v>
      </c>
      <c r="N337" s="439">
        <v>2.6180000000000003</v>
      </c>
      <c r="O337" s="439" t="s">
        <v>74</v>
      </c>
      <c r="P337" s="439">
        <v>50</v>
      </c>
      <c r="Q337" s="439" t="s">
        <v>75</v>
      </c>
      <c r="R337" s="444" t="s">
        <v>1142</v>
      </c>
      <c r="S337" s="444" t="s">
        <v>1142</v>
      </c>
      <c r="T337" s="444">
        <v>19209.727999999999</v>
      </c>
      <c r="U337" s="444" t="str">
        <f>IFERROR(VLOOKUP(salesHistory[[#This Row],[order_no]],orderHistory[],22,FALSE),"")</f>
        <v>SUPPLY</v>
      </c>
    </row>
    <row r="338" spans="1:21">
      <c r="A338" s="439">
        <v>43</v>
      </c>
      <c r="B338" s="440" t="s">
        <v>138</v>
      </c>
      <c r="C338" s="441" t="s">
        <v>139</v>
      </c>
      <c r="D338" s="439"/>
      <c r="E338" s="442"/>
      <c r="F338" s="443"/>
      <c r="G338" s="442"/>
      <c r="H338" s="439">
        <v>681</v>
      </c>
      <c r="I338" s="439">
        <v>0</v>
      </c>
      <c r="J338" s="439">
        <v>0</v>
      </c>
      <c r="K338" s="439">
        <v>29</v>
      </c>
      <c r="L338" s="439">
        <v>258.77999999999997</v>
      </c>
      <c r="M338" s="439">
        <v>269.5625</v>
      </c>
      <c r="N338" s="439">
        <v>0</v>
      </c>
      <c r="O338" s="439" t="s">
        <v>128</v>
      </c>
      <c r="P338" s="439">
        <v>100</v>
      </c>
      <c r="Q338" s="439" t="s">
        <v>75</v>
      </c>
      <c r="R338" s="444" t="s">
        <v>1142</v>
      </c>
      <c r="S338" s="444" t="s">
        <v>1142</v>
      </c>
      <c r="T338" s="444">
        <v>0</v>
      </c>
      <c r="U338" s="444" t="str">
        <f>IFERROR(VLOOKUP(salesHistory[[#This Row],[order_no]],orderHistory[],22,FALSE),"")</f>
        <v>SUPPLY</v>
      </c>
    </row>
    <row r="339" spans="1:21">
      <c r="A339" s="7">
        <v>44</v>
      </c>
      <c r="B339" s="199" t="s">
        <v>78</v>
      </c>
      <c r="C339" s="200" t="s">
        <v>79</v>
      </c>
      <c r="D339" s="7">
        <v>4608</v>
      </c>
      <c r="E339" s="72">
        <v>4.4139999999999997</v>
      </c>
      <c r="H339" s="7"/>
      <c r="I339" s="7">
        <v>192</v>
      </c>
      <c r="J339" s="7">
        <v>0</v>
      </c>
      <c r="K339" s="7">
        <v>0</v>
      </c>
      <c r="L339" s="7">
        <v>921.59999999999991</v>
      </c>
      <c r="M339" s="7">
        <v>998.40000000000009</v>
      </c>
      <c r="N339" s="7">
        <v>2.7719999999999998</v>
      </c>
      <c r="O339" s="7" t="s">
        <v>74</v>
      </c>
      <c r="P339" s="7">
        <v>50</v>
      </c>
      <c r="Q339" s="7" t="s">
        <v>75</v>
      </c>
      <c r="R339" s="21" t="s">
        <v>1142</v>
      </c>
      <c r="S339" s="21" t="s">
        <v>1142</v>
      </c>
      <c r="T339" s="21">
        <v>20339.712</v>
      </c>
      <c r="U339" s="21" t="str">
        <f>IFERROR(VLOOKUP(salesHistory[[#This Row],[order_no]],orderHistory[],22,FALSE),"")</f>
        <v>SUPPLY</v>
      </c>
    </row>
    <row r="340" spans="1:21">
      <c r="A340" s="7">
        <v>44</v>
      </c>
      <c r="B340" s="199" t="s">
        <v>82</v>
      </c>
      <c r="C340" s="200" t="s">
        <v>83</v>
      </c>
      <c r="D340" s="7">
        <v>4603</v>
      </c>
      <c r="E340" s="72">
        <v>4.4139999999999997</v>
      </c>
      <c r="H340" s="7">
        <v>5</v>
      </c>
      <c r="I340" s="7">
        <v>192</v>
      </c>
      <c r="J340" s="7">
        <v>0</v>
      </c>
      <c r="K340" s="7">
        <v>1</v>
      </c>
      <c r="L340" s="7">
        <v>921.59999999999991</v>
      </c>
      <c r="M340" s="7">
        <v>998.40000000000009</v>
      </c>
      <c r="N340" s="7">
        <v>2.7689921874999994</v>
      </c>
      <c r="O340" s="7" t="s">
        <v>74</v>
      </c>
      <c r="P340" s="7">
        <v>50</v>
      </c>
      <c r="Q340" s="7" t="s">
        <v>75</v>
      </c>
      <c r="R340" s="21" t="s">
        <v>1142</v>
      </c>
      <c r="S340" s="21" t="s">
        <v>1142</v>
      </c>
      <c r="T340" s="21">
        <v>20317.642</v>
      </c>
      <c r="U340" s="21" t="str">
        <f>IFERROR(VLOOKUP(salesHistory[[#This Row],[order_no]],orderHistory[],22,FALSE),"")</f>
        <v>SUPPLY</v>
      </c>
    </row>
    <row r="341" spans="1:21">
      <c r="A341" s="7">
        <v>44</v>
      </c>
      <c r="B341" s="199" t="s">
        <v>84</v>
      </c>
      <c r="C341" s="200" t="s">
        <v>85</v>
      </c>
      <c r="D341" s="7">
        <v>4680</v>
      </c>
      <c r="E341" s="72">
        <v>4.4139999999999997</v>
      </c>
      <c r="H341" s="7">
        <v>312</v>
      </c>
      <c r="I341" s="7">
        <v>195</v>
      </c>
      <c r="J341" s="7">
        <v>0</v>
      </c>
      <c r="K341" s="7">
        <v>13</v>
      </c>
      <c r="L341" s="7">
        <v>973.43999999999994</v>
      </c>
      <c r="M341" s="7">
        <v>1056.6400000000001</v>
      </c>
      <c r="N341" s="7">
        <v>3.5948834999999999</v>
      </c>
      <c r="O341" s="7" t="s">
        <v>74</v>
      </c>
      <c r="P341" s="7">
        <v>50</v>
      </c>
      <c r="Q341" s="7" t="s">
        <v>75</v>
      </c>
      <c r="R341" s="21" t="s">
        <v>1142</v>
      </c>
      <c r="S341" s="21" t="s">
        <v>1142</v>
      </c>
      <c r="T341" s="21">
        <v>20657.519999999997</v>
      </c>
      <c r="U341" s="21" t="str">
        <f>IFERROR(VLOOKUP(salesHistory[[#This Row],[order_no]],orderHistory[],22,FALSE),"")</f>
        <v>SUPPLY</v>
      </c>
    </row>
    <row r="342" spans="1:21">
      <c r="A342" s="7">
        <v>44</v>
      </c>
      <c r="B342" s="199" t="s">
        <v>86</v>
      </c>
      <c r="C342" s="200" t="s">
        <v>87</v>
      </c>
      <c r="D342" s="7">
        <v>4290</v>
      </c>
      <c r="E342" s="72">
        <v>4.4139999999999997</v>
      </c>
      <c r="H342" s="7">
        <v>318</v>
      </c>
      <c r="I342" s="7">
        <v>179</v>
      </c>
      <c r="J342" s="7">
        <v>0</v>
      </c>
      <c r="K342" s="7">
        <v>14</v>
      </c>
      <c r="L342" s="7">
        <v>898.56</v>
      </c>
      <c r="M342" s="7">
        <v>975.36</v>
      </c>
      <c r="N342" s="7">
        <v>3.2953098750000001</v>
      </c>
      <c r="O342" s="7" t="s">
        <v>74</v>
      </c>
      <c r="P342" s="7">
        <v>50</v>
      </c>
      <c r="Q342" s="7" t="s">
        <v>75</v>
      </c>
      <c r="R342" s="21" t="s">
        <v>1142</v>
      </c>
      <c r="S342" s="21" t="s">
        <v>1142</v>
      </c>
      <c r="T342" s="21">
        <v>18936.059999999998</v>
      </c>
      <c r="U342" s="21" t="str">
        <f>IFERROR(VLOOKUP(salesHistory[[#This Row],[order_no]],orderHistory[],22,FALSE),"")</f>
        <v>SUPPLY</v>
      </c>
    </row>
    <row r="343" spans="1:21">
      <c r="A343" s="7">
        <v>44</v>
      </c>
      <c r="B343" s="199" t="s">
        <v>88</v>
      </c>
      <c r="C343" s="200" t="s">
        <v>89</v>
      </c>
      <c r="D343" s="7">
        <v>4292</v>
      </c>
      <c r="E343" s="72">
        <v>4.4139999999999997</v>
      </c>
      <c r="H343" s="7">
        <v>316</v>
      </c>
      <c r="I343" s="7">
        <v>179</v>
      </c>
      <c r="J343" s="7">
        <v>0</v>
      </c>
      <c r="K343" s="7">
        <v>14</v>
      </c>
      <c r="L343" s="7">
        <v>898.56</v>
      </c>
      <c r="M343" s="7">
        <v>975.36</v>
      </c>
      <c r="N343" s="7">
        <v>3.2968461499999999</v>
      </c>
      <c r="O343" s="7" t="s">
        <v>74</v>
      </c>
      <c r="P343" s="7">
        <v>50</v>
      </c>
      <c r="Q343" s="7" t="s">
        <v>75</v>
      </c>
      <c r="R343" s="21" t="s">
        <v>1142</v>
      </c>
      <c r="S343" s="21" t="s">
        <v>1142</v>
      </c>
      <c r="T343" s="21">
        <v>18944.887999999999</v>
      </c>
      <c r="U343" s="21" t="str">
        <f>IFERROR(VLOOKUP(salesHistory[[#This Row],[order_no]],orderHistory[],22,FALSE),"")</f>
        <v>SUPPLY</v>
      </c>
    </row>
    <row r="344" spans="1:21">
      <c r="A344" s="439">
        <v>44</v>
      </c>
      <c r="B344" s="440" t="s">
        <v>90</v>
      </c>
      <c r="C344" s="441" t="s">
        <v>91</v>
      </c>
      <c r="D344" s="439">
        <v>4437</v>
      </c>
      <c r="E344" s="442">
        <v>4.4139999999999997</v>
      </c>
      <c r="F344" s="443"/>
      <c r="G344" s="442"/>
      <c r="H344" s="439">
        <v>318</v>
      </c>
      <c r="I344" s="439">
        <v>185</v>
      </c>
      <c r="J344" s="439">
        <v>0</v>
      </c>
      <c r="K344" s="439">
        <v>14</v>
      </c>
      <c r="L344" s="439">
        <v>927.22499999999991</v>
      </c>
      <c r="M344" s="439">
        <v>1006.475</v>
      </c>
      <c r="N344" s="439">
        <v>3.4082260875000001</v>
      </c>
      <c r="O344" s="439" t="s">
        <v>74</v>
      </c>
      <c r="P344" s="439">
        <v>50</v>
      </c>
      <c r="Q344" s="439" t="s">
        <v>75</v>
      </c>
      <c r="R344" s="444" t="s">
        <v>1142</v>
      </c>
      <c r="S344" s="444" t="s">
        <v>1142</v>
      </c>
      <c r="T344" s="444">
        <v>19584.917999999998</v>
      </c>
      <c r="U344" s="444" t="str">
        <f>IFERROR(VLOOKUP(salesHistory[[#This Row],[order_no]],orderHistory[],22,FALSE),"")</f>
        <v>SUPPLY</v>
      </c>
    </row>
    <row r="345" spans="1:21">
      <c r="A345" s="7">
        <v>45</v>
      </c>
      <c r="B345" s="199" t="s">
        <v>161</v>
      </c>
      <c r="C345" s="200" t="s">
        <v>162</v>
      </c>
      <c r="D345" s="7">
        <v>902</v>
      </c>
      <c r="E345" s="72">
        <v>11.68</v>
      </c>
      <c r="H345" s="7"/>
      <c r="I345" s="7">
        <v>38</v>
      </c>
      <c r="J345" s="7">
        <v>0</v>
      </c>
      <c r="K345" s="7">
        <v>0</v>
      </c>
      <c r="L345" s="7">
        <v>356.29</v>
      </c>
      <c r="M345" s="7">
        <v>372.07500000000005</v>
      </c>
      <c r="N345" s="7">
        <v>0.65888281250000003</v>
      </c>
      <c r="O345" s="7" t="s">
        <v>128</v>
      </c>
      <c r="P345" s="7">
        <v>100</v>
      </c>
      <c r="Q345" s="7" t="s">
        <v>75</v>
      </c>
      <c r="R345" s="21" t="s">
        <v>1142</v>
      </c>
      <c r="S345" s="21" t="s">
        <v>1142</v>
      </c>
      <c r="T345" s="21">
        <v>10535.36</v>
      </c>
      <c r="U345" s="21" t="str">
        <f>IFERROR(VLOOKUP(salesHistory[[#This Row],[order_no]],orderHistory[],22,FALSE),"")</f>
        <v>SUPPLY</v>
      </c>
    </row>
    <row r="346" spans="1:21">
      <c r="A346" s="439">
        <v>45</v>
      </c>
      <c r="B346" s="440" t="s">
        <v>163</v>
      </c>
      <c r="C346" s="441" t="s">
        <v>164</v>
      </c>
      <c r="D346" s="439">
        <v>1016</v>
      </c>
      <c r="E346" s="442">
        <v>11.68</v>
      </c>
      <c r="F346" s="443"/>
      <c r="G346" s="442"/>
      <c r="H346" s="439"/>
      <c r="I346" s="439">
        <v>43</v>
      </c>
      <c r="J346" s="439">
        <v>0</v>
      </c>
      <c r="K346" s="439">
        <v>0</v>
      </c>
      <c r="L346" s="439">
        <v>401.32000000000005</v>
      </c>
      <c r="M346" s="439">
        <v>419.1</v>
      </c>
      <c r="N346" s="439">
        <v>0.74215624999999996</v>
      </c>
      <c r="O346" s="439" t="s">
        <v>128</v>
      </c>
      <c r="P346" s="439">
        <v>100</v>
      </c>
      <c r="Q346" s="439" t="s">
        <v>75</v>
      </c>
      <c r="R346" s="444" t="s">
        <v>1142</v>
      </c>
      <c r="S346" s="444" t="s">
        <v>1142</v>
      </c>
      <c r="T346" s="444">
        <v>11866.88</v>
      </c>
      <c r="U346" s="444" t="str">
        <f>IFERROR(VLOOKUP(salesHistory[[#This Row],[order_no]],orderHistory[],22,FALSE),"")</f>
        <v>SUPPLY</v>
      </c>
    </row>
    <row r="347" spans="1:21">
      <c r="A347" s="7">
        <v>46</v>
      </c>
      <c r="B347" s="199" t="s">
        <v>201</v>
      </c>
      <c r="C347" s="200" t="s">
        <v>203</v>
      </c>
      <c r="D347" s="7">
        <v>22092</v>
      </c>
      <c r="E347" s="72">
        <v>0.93</v>
      </c>
      <c r="H347" s="7"/>
      <c r="I347" s="7">
        <v>461</v>
      </c>
      <c r="J347" s="7">
        <v>0</v>
      </c>
      <c r="K347" s="7">
        <v>0</v>
      </c>
      <c r="L347" s="7">
        <v>0</v>
      </c>
      <c r="M347" s="7">
        <v>0</v>
      </c>
      <c r="N347" s="7">
        <v>0</v>
      </c>
      <c r="O347" s="7" t="s">
        <v>202</v>
      </c>
      <c r="P347" s="7">
        <v>0</v>
      </c>
      <c r="Q347" s="7">
        <v>0</v>
      </c>
      <c r="R347" s="21" t="s">
        <v>1142</v>
      </c>
      <c r="S347" s="21" t="s">
        <v>1142</v>
      </c>
      <c r="T347" s="21">
        <v>20545.560000000001</v>
      </c>
      <c r="U347" s="21" t="str">
        <f>IFERROR(VLOOKUP(salesHistory[[#This Row],[order_no]],orderHistory[],22,FALSE),"")</f>
        <v>SUPPLY</v>
      </c>
    </row>
    <row r="348" spans="1:21">
      <c r="A348" s="7">
        <v>46</v>
      </c>
      <c r="B348" s="199" t="s">
        <v>204</v>
      </c>
      <c r="C348" s="200" t="s">
        <v>205</v>
      </c>
      <c r="D348" s="7">
        <v>24828</v>
      </c>
      <c r="E348" s="72">
        <v>0.93</v>
      </c>
      <c r="H348" s="7"/>
      <c r="I348" s="7">
        <v>518</v>
      </c>
      <c r="J348" s="7">
        <v>0</v>
      </c>
      <c r="K348" s="7">
        <v>0</v>
      </c>
      <c r="L348" s="7">
        <v>0</v>
      </c>
      <c r="M348" s="7">
        <v>0</v>
      </c>
      <c r="N348" s="7">
        <v>0</v>
      </c>
      <c r="O348" s="7" t="s">
        <v>202</v>
      </c>
      <c r="P348" s="7">
        <v>0</v>
      </c>
      <c r="Q348" s="7">
        <v>0</v>
      </c>
      <c r="R348" s="21" t="s">
        <v>1142</v>
      </c>
      <c r="S348" s="21" t="s">
        <v>1142</v>
      </c>
      <c r="T348" s="21">
        <v>23090.04</v>
      </c>
      <c r="U348" s="21" t="str">
        <f>IFERROR(VLOOKUP(salesHistory[[#This Row],[order_no]],orderHistory[],22,FALSE),"")</f>
        <v>SUPPLY</v>
      </c>
    </row>
    <row r="349" spans="1:21">
      <c r="A349" s="7">
        <v>46</v>
      </c>
      <c r="B349" s="199" t="s">
        <v>206</v>
      </c>
      <c r="C349" s="200" t="s">
        <v>207</v>
      </c>
      <c r="D349" s="7">
        <v>21120</v>
      </c>
      <c r="E349" s="72">
        <v>0.93</v>
      </c>
      <c r="H349" s="7"/>
      <c r="I349" s="7">
        <v>440</v>
      </c>
      <c r="J349" s="7">
        <v>0</v>
      </c>
      <c r="K349" s="7">
        <v>0</v>
      </c>
      <c r="L349" s="7">
        <v>0</v>
      </c>
      <c r="M349" s="7">
        <v>0</v>
      </c>
      <c r="N349" s="7">
        <v>0</v>
      </c>
      <c r="O349" s="7" t="s">
        <v>202</v>
      </c>
      <c r="P349" s="7">
        <v>0</v>
      </c>
      <c r="Q349" s="7">
        <v>0</v>
      </c>
      <c r="R349" s="21" t="s">
        <v>1142</v>
      </c>
      <c r="S349" s="21" t="s">
        <v>1142</v>
      </c>
      <c r="T349" s="21">
        <v>19641.600000000002</v>
      </c>
      <c r="U349" s="21" t="str">
        <f>IFERROR(VLOOKUP(salesHistory[[#This Row],[order_no]],orderHistory[],22,FALSE),"")</f>
        <v>SUPPLY</v>
      </c>
    </row>
    <row r="350" spans="1:21">
      <c r="A350" s="439">
        <v>46</v>
      </c>
      <c r="B350" s="440" t="s">
        <v>208</v>
      </c>
      <c r="C350" s="441" t="s">
        <v>209</v>
      </c>
      <c r="D350" s="439">
        <v>23352</v>
      </c>
      <c r="E350" s="442">
        <v>0.93</v>
      </c>
      <c r="F350" s="443"/>
      <c r="G350" s="442"/>
      <c r="H350" s="439"/>
      <c r="I350" s="439">
        <v>487</v>
      </c>
      <c r="J350" s="439">
        <v>0</v>
      </c>
      <c r="K350" s="439">
        <v>0</v>
      </c>
      <c r="L350" s="439">
        <v>0</v>
      </c>
      <c r="M350" s="439">
        <v>0</v>
      </c>
      <c r="N350" s="439">
        <v>0</v>
      </c>
      <c r="O350" s="439" t="s">
        <v>202</v>
      </c>
      <c r="P350" s="439">
        <v>0</v>
      </c>
      <c r="Q350" s="439">
        <v>0</v>
      </c>
      <c r="R350" s="444" t="s">
        <v>1142</v>
      </c>
      <c r="S350" s="444" t="s">
        <v>1142</v>
      </c>
      <c r="T350" s="444">
        <v>21717.360000000001</v>
      </c>
      <c r="U350" s="444" t="str">
        <f>IFERROR(VLOOKUP(salesHistory[[#This Row],[order_no]],orderHistory[],22,FALSE),"")</f>
        <v>SUPPLY</v>
      </c>
    </row>
    <row r="351" spans="1:21">
      <c r="A351" s="7">
        <v>47</v>
      </c>
      <c r="B351" s="199" t="s">
        <v>182</v>
      </c>
      <c r="C351" s="200" t="s">
        <v>183</v>
      </c>
      <c r="D351" s="7">
        <v>10368</v>
      </c>
      <c r="E351" s="72">
        <v>0.81599999999999995</v>
      </c>
      <c r="H351" s="7"/>
      <c r="I351" s="7">
        <v>216</v>
      </c>
      <c r="J351" s="7">
        <v>0</v>
      </c>
      <c r="K351" s="7">
        <v>0</v>
      </c>
      <c r="L351" s="7">
        <v>1615.68</v>
      </c>
      <c r="M351" s="7">
        <v>1663.2</v>
      </c>
      <c r="N351" s="7">
        <v>7.354152</v>
      </c>
      <c r="O351" s="7" t="s">
        <v>170</v>
      </c>
      <c r="P351" s="7">
        <v>175</v>
      </c>
      <c r="Q351" s="7" t="s">
        <v>171</v>
      </c>
      <c r="R351" s="21" t="s">
        <v>1142</v>
      </c>
      <c r="S351" s="21" t="s">
        <v>1142</v>
      </c>
      <c r="T351" s="21">
        <v>8460.2879999999986</v>
      </c>
      <c r="U351" s="21" t="str">
        <f>IFERROR(VLOOKUP(salesHistory[[#This Row],[order_no]],orderHistory[],22,FALSE),"")</f>
        <v>SUPPLY</v>
      </c>
    </row>
    <row r="352" spans="1:21">
      <c r="A352" s="7">
        <v>47</v>
      </c>
      <c r="B352" s="199" t="s">
        <v>184</v>
      </c>
      <c r="C352" s="200" t="s">
        <v>185</v>
      </c>
      <c r="D352" s="7">
        <v>10368</v>
      </c>
      <c r="E352" s="72">
        <v>0.81599999999999995</v>
      </c>
      <c r="H352" s="7"/>
      <c r="I352" s="7">
        <v>216</v>
      </c>
      <c r="J352" s="7">
        <v>0</v>
      </c>
      <c r="K352" s="7">
        <v>0</v>
      </c>
      <c r="L352" s="7">
        <v>1615.68</v>
      </c>
      <c r="M352" s="7">
        <v>1663.2</v>
      </c>
      <c r="N352" s="7">
        <v>7.354152</v>
      </c>
      <c r="O352" s="7" t="s">
        <v>170</v>
      </c>
      <c r="P352" s="7">
        <v>175</v>
      </c>
      <c r="Q352" s="7" t="s">
        <v>171</v>
      </c>
      <c r="R352" s="21" t="s">
        <v>1142</v>
      </c>
      <c r="S352" s="21" t="s">
        <v>1142</v>
      </c>
      <c r="T352" s="21">
        <v>8460.2879999999986</v>
      </c>
      <c r="U352" s="21" t="str">
        <f>IFERROR(VLOOKUP(salesHistory[[#This Row],[order_no]],orderHistory[],22,FALSE),"")</f>
        <v>SUPPLY</v>
      </c>
    </row>
    <row r="353" spans="1:21">
      <c r="A353" s="439">
        <v>47</v>
      </c>
      <c r="B353" s="440" t="s">
        <v>186</v>
      </c>
      <c r="C353" s="441" t="s">
        <v>187</v>
      </c>
      <c r="D353" s="439">
        <v>10368</v>
      </c>
      <c r="E353" s="442">
        <v>0.81599999999999995</v>
      </c>
      <c r="F353" s="443"/>
      <c r="G353" s="442"/>
      <c r="H353" s="439"/>
      <c r="I353" s="439">
        <v>216</v>
      </c>
      <c r="J353" s="439">
        <v>0</v>
      </c>
      <c r="K353" s="439">
        <v>0</v>
      </c>
      <c r="L353" s="439">
        <v>1615.68</v>
      </c>
      <c r="M353" s="439">
        <v>1663.2</v>
      </c>
      <c r="N353" s="439">
        <v>7.354152</v>
      </c>
      <c r="O353" s="439" t="s">
        <v>170</v>
      </c>
      <c r="P353" s="439">
        <v>175</v>
      </c>
      <c r="Q353" s="439" t="s">
        <v>171</v>
      </c>
      <c r="R353" s="444" t="s">
        <v>1142</v>
      </c>
      <c r="S353" s="444" t="s">
        <v>1142</v>
      </c>
      <c r="T353" s="444">
        <v>8460.2879999999986</v>
      </c>
      <c r="U353" s="444" t="str">
        <f>IFERROR(VLOOKUP(salesHistory[[#This Row],[order_no]],orderHistory[],22,FALSE),"")</f>
        <v>SUPPLY</v>
      </c>
    </row>
    <row r="354" spans="1:21">
      <c r="A354" s="7">
        <v>47</v>
      </c>
      <c r="B354" s="199" t="s">
        <v>113</v>
      </c>
      <c r="C354" s="200" t="s">
        <v>114</v>
      </c>
      <c r="D354" s="7">
        <v>10368</v>
      </c>
      <c r="E354" s="72">
        <v>0.81599999999999995</v>
      </c>
      <c r="H354" s="7"/>
      <c r="I354" s="7">
        <v>432</v>
      </c>
      <c r="J354" s="7">
        <v>0</v>
      </c>
      <c r="K354" s="7">
        <v>0</v>
      </c>
      <c r="L354" s="7">
        <v>3248.64</v>
      </c>
      <c r="M354" s="7">
        <v>3555.36</v>
      </c>
      <c r="N354" s="7">
        <v>9.6966719999999995</v>
      </c>
      <c r="O354" s="7" t="s">
        <v>74</v>
      </c>
      <c r="P354" s="7">
        <v>100</v>
      </c>
      <c r="Q354" s="7" t="s">
        <v>75</v>
      </c>
      <c r="R354" s="21" t="s">
        <v>1142</v>
      </c>
      <c r="S354" s="21" t="s">
        <v>1142</v>
      </c>
      <c r="T354" s="21">
        <v>8460.2879999999986</v>
      </c>
      <c r="U354" s="21" t="str">
        <f>IFERROR(VLOOKUP(salesHistory[[#This Row],[order_no]],orderHistory[],22,FALSE),"")</f>
        <v>SUPPLY</v>
      </c>
    </row>
    <row r="355" spans="1:21">
      <c r="A355" s="439">
        <v>47</v>
      </c>
      <c r="B355" s="440" t="s">
        <v>176</v>
      </c>
      <c r="C355" s="441" t="s">
        <v>177</v>
      </c>
      <c r="D355" s="439">
        <v>3840</v>
      </c>
      <c r="E355" s="442">
        <v>0.81599999999999995</v>
      </c>
      <c r="F355" s="443"/>
      <c r="G355" s="442"/>
      <c r="H355" s="439"/>
      <c r="I355" s="439">
        <v>80</v>
      </c>
      <c r="J355" s="439">
        <v>0</v>
      </c>
      <c r="K355" s="439">
        <v>0</v>
      </c>
      <c r="L355" s="439">
        <v>503.04</v>
      </c>
      <c r="M355" s="439">
        <v>562.88</v>
      </c>
      <c r="N355" s="439">
        <v>2.0992000000000002</v>
      </c>
      <c r="O355" s="439" t="s">
        <v>170</v>
      </c>
      <c r="P355" s="439">
        <v>150</v>
      </c>
      <c r="Q355" s="439" t="s">
        <v>171</v>
      </c>
      <c r="R355" s="444" t="s">
        <v>1142</v>
      </c>
      <c r="S355" s="444" t="s">
        <v>1142</v>
      </c>
      <c r="T355" s="444">
        <v>3133.4399999999996</v>
      </c>
      <c r="U355" s="444" t="str">
        <f>IFERROR(VLOOKUP(salesHistory[[#This Row],[order_no]],orderHistory[],22,FALSE),"")</f>
        <v>SUPPLY</v>
      </c>
    </row>
    <row r="356" spans="1:21">
      <c r="A356" s="7">
        <v>48</v>
      </c>
      <c r="B356" s="199" t="s">
        <v>73</v>
      </c>
      <c r="C356" s="200" t="s">
        <v>76</v>
      </c>
      <c r="E356" s="72"/>
      <c r="H356" s="7">
        <v>12</v>
      </c>
      <c r="I356" s="7">
        <v>0</v>
      </c>
      <c r="J356" s="7">
        <v>0</v>
      </c>
      <c r="K356" s="7">
        <v>1</v>
      </c>
      <c r="L356" s="7">
        <v>2.4</v>
      </c>
      <c r="M356" s="7">
        <v>2.6</v>
      </c>
      <c r="N356" s="7">
        <v>0</v>
      </c>
      <c r="O356" s="7" t="s">
        <v>74</v>
      </c>
      <c r="P356" s="7">
        <v>50</v>
      </c>
      <c r="Q356" s="7">
        <v>33030010</v>
      </c>
      <c r="R356" s="21" t="s">
        <v>1142</v>
      </c>
      <c r="S356" s="21" t="s">
        <v>1142</v>
      </c>
      <c r="T356" s="21">
        <v>0</v>
      </c>
      <c r="U356" s="21" t="str">
        <f>IFERROR(VLOOKUP(salesHistory[[#This Row],[order_no]],orderHistory[],22,FALSE),"")</f>
        <v>SUPPLY</v>
      </c>
    </row>
    <row r="357" spans="1:21">
      <c r="A357" s="439">
        <v>48</v>
      </c>
      <c r="B357" s="440" t="s">
        <v>132</v>
      </c>
      <c r="C357" s="441" t="s">
        <v>843</v>
      </c>
      <c r="D357" s="439">
        <v>120</v>
      </c>
      <c r="E357" s="442">
        <v>11.68</v>
      </c>
      <c r="F357" s="443">
        <v>44</v>
      </c>
      <c r="G357" s="442">
        <v>6.25</v>
      </c>
      <c r="H357" s="439">
        <v>76</v>
      </c>
      <c r="I357" s="439">
        <v>7</v>
      </c>
      <c r="J357" s="439">
        <v>2</v>
      </c>
      <c r="K357" s="439">
        <v>4</v>
      </c>
      <c r="L357" s="439">
        <v>94.800000000000011</v>
      </c>
      <c r="M357" s="439">
        <v>99</v>
      </c>
      <c r="N357" s="439">
        <v>0.11819958333333333</v>
      </c>
      <c r="O357" s="439" t="s">
        <v>128</v>
      </c>
      <c r="P357" s="439">
        <v>100</v>
      </c>
      <c r="Q357" s="439" t="s">
        <v>75</v>
      </c>
      <c r="R357" s="444" t="s">
        <v>1142</v>
      </c>
      <c r="S357" s="444" t="s">
        <v>1142</v>
      </c>
      <c r="T357" s="444">
        <v>1676.6</v>
      </c>
      <c r="U357" s="444" t="str">
        <f>IFERROR(VLOOKUP(salesHistory[[#This Row],[order_no]],orderHistory[],22,FALSE),"")</f>
        <v>SUPPLY</v>
      </c>
    </row>
    <row r="358" spans="1:21">
      <c r="A358" s="7">
        <v>49</v>
      </c>
      <c r="B358" s="199" t="s">
        <v>895</v>
      </c>
      <c r="C358" s="200" t="s">
        <v>1132</v>
      </c>
      <c r="D358" s="7">
        <v>2496</v>
      </c>
      <c r="E358" s="72">
        <v>4.21</v>
      </c>
      <c r="H358" s="7"/>
      <c r="I358" s="7">
        <v>104</v>
      </c>
      <c r="J358" s="7">
        <v>0</v>
      </c>
      <c r="K358" s="7">
        <v>0</v>
      </c>
      <c r="L358" s="7">
        <v>676.41599999999994</v>
      </c>
      <c r="M358" s="7">
        <v>737.36</v>
      </c>
      <c r="N358" s="7">
        <v>1.6680299999999999</v>
      </c>
      <c r="O358" s="7" t="s">
        <v>170</v>
      </c>
      <c r="P358" s="7">
        <v>100</v>
      </c>
      <c r="Q358" s="7">
        <v>33072000</v>
      </c>
      <c r="R358" s="21" t="s">
        <v>1142</v>
      </c>
      <c r="S358" s="21" t="s">
        <v>1142</v>
      </c>
      <c r="T358" s="21">
        <v>10508.16</v>
      </c>
      <c r="U358" s="21" t="str">
        <f>IFERROR(VLOOKUP(salesHistory[[#This Row],[order_no]],orderHistory[],22,FALSE),"")</f>
        <v>SUPPLY</v>
      </c>
    </row>
    <row r="359" spans="1:21">
      <c r="A359" s="7">
        <v>49</v>
      </c>
      <c r="B359" s="199" t="s">
        <v>897</v>
      </c>
      <c r="C359" s="200" t="s">
        <v>1133</v>
      </c>
      <c r="D359" s="7">
        <v>2496</v>
      </c>
      <c r="E359" s="72">
        <v>4.21</v>
      </c>
      <c r="H359" s="7"/>
      <c r="I359" s="7">
        <v>104</v>
      </c>
      <c r="J359" s="7">
        <v>0</v>
      </c>
      <c r="K359" s="7">
        <v>0</v>
      </c>
      <c r="L359" s="7">
        <v>676.41599999999994</v>
      </c>
      <c r="M359" s="7">
        <v>737.36</v>
      </c>
      <c r="N359" s="7">
        <v>1.6680299999999999</v>
      </c>
      <c r="O359" s="7" t="s">
        <v>170</v>
      </c>
      <c r="P359" s="7">
        <v>100</v>
      </c>
      <c r="Q359" s="7">
        <v>33072000</v>
      </c>
      <c r="R359" s="21" t="s">
        <v>1142</v>
      </c>
      <c r="S359" s="21" t="s">
        <v>1142</v>
      </c>
      <c r="T359" s="21">
        <v>10508.16</v>
      </c>
      <c r="U359" s="21" t="str">
        <f>IFERROR(VLOOKUP(salesHistory[[#This Row],[order_no]],orderHistory[],22,FALSE),"")</f>
        <v>SUPPLY</v>
      </c>
    </row>
    <row r="360" spans="1:21">
      <c r="A360" s="7">
        <v>49</v>
      </c>
      <c r="B360" s="199" t="s">
        <v>899</v>
      </c>
      <c r="C360" s="200" t="s">
        <v>1134</v>
      </c>
      <c r="D360" s="7">
        <v>2496</v>
      </c>
      <c r="E360" s="72">
        <v>4.21</v>
      </c>
      <c r="H360" s="7"/>
      <c r="I360" s="7">
        <v>104</v>
      </c>
      <c r="J360" s="7">
        <v>0</v>
      </c>
      <c r="K360" s="7">
        <v>0</v>
      </c>
      <c r="L360" s="7">
        <v>676.41599999999994</v>
      </c>
      <c r="M360" s="7">
        <v>737.36</v>
      </c>
      <c r="N360" s="7">
        <v>1.6680299999999999</v>
      </c>
      <c r="O360" s="7" t="s">
        <v>170</v>
      </c>
      <c r="P360" s="7">
        <v>100</v>
      </c>
      <c r="Q360" s="7">
        <v>33072000</v>
      </c>
      <c r="R360" s="21" t="s">
        <v>1142</v>
      </c>
      <c r="S360" s="21" t="s">
        <v>1142</v>
      </c>
      <c r="T360" s="21">
        <v>10508.16</v>
      </c>
      <c r="U360" s="21" t="str">
        <f>IFERROR(VLOOKUP(salesHistory[[#This Row],[order_no]],orderHistory[],22,FALSE),"")</f>
        <v>SUPPLY</v>
      </c>
    </row>
    <row r="361" spans="1:21">
      <c r="A361" s="7">
        <v>49</v>
      </c>
      <c r="B361" s="199" t="s">
        <v>901</v>
      </c>
      <c r="C361" s="200" t="s">
        <v>1135</v>
      </c>
      <c r="D361" s="7">
        <v>2496</v>
      </c>
      <c r="E361" s="72">
        <v>4.21</v>
      </c>
      <c r="H361" s="7"/>
      <c r="I361" s="7">
        <v>104</v>
      </c>
      <c r="J361" s="7">
        <v>0</v>
      </c>
      <c r="K361" s="7">
        <v>0</v>
      </c>
      <c r="L361" s="7">
        <v>676.41599999999994</v>
      </c>
      <c r="M361" s="7">
        <v>737.36</v>
      </c>
      <c r="N361" s="7">
        <v>1.6680299999999999</v>
      </c>
      <c r="O361" s="7" t="s">
        <v>170</v>
      </c>
      <c r="P361" s="7">
        <v>100</v>
      </c>
      <c r="Q361" s="7">
        <v>33072000</v>
      </c>
      <c r="R361" s="21" t="s">
        <v>1142</v>
      </c>
      <c r="S361" s="21" t="s">
        <v>1142</v>
      </c>
      <c r="T361" s="21">
        <v>10508.16</v>
      </c>
      <c r="U361" s="21" t="str">
        <f>IFERROR(VLOOKUP(salesHistory[[#This Row],[order_no]],orderHistory[],22,FALSE),"")</f>
        <v>SUPPLY</v>
      </c>
    </row>
    <row r="362" spans="1:21">
      <c r="A362" s="7">
        <v>49</v>
      </c>
      <c r="B362" s="199" t="s">
        <v>905</v>
      </c>
      <c r="C362" s="200" t="s">
        <v>1129</v>
      </c>
      <c r="D362" s="7">
        <v>5016</v>
      </c>
      <c r="E362" s="72">
        <v>4.21</v>
      </c>
      <c r="H362" s="7"/>
      <c r="I362" s="7">
        <v>209</v>
      </c>
      <c r="J362" s="7">
        <v>0</v>
      </c>
      <c r="K362" s="7">
        <v>0</v>
      </c>
      <c r="L362" s="7">
        <v>1274.0640000000001</v>
      </c>
      <c r="M362" s="7">
        <v>1421.2</v>
      </c>
      <c r="N362" s="7">
        <v>4.7383957499999996</v>
      </c>
      <c r="O362" s="7" t="s">
        <v>170</v>
      </c>
      <c r="P362" s="7">
        <v>100</v>
      </c>
      <c r="Q362" s="7">
        <v>33072000</v>
      </c>
      <c r="R362" s="21" t="s">
        <v>1142</v>
      </c>
      <c r="S362" s="21" t="s">
        <v>1142</v>
      </c>
      <c r="T362" s="21">
        <v>21117.360000000001</v>
      </c>
      <c r="U362" s="21" t="str">
        <f>IFERROR(VLOOKUP(salesHistory[[#This Row],[order_no]],orderHistory[],22,FALSE),"")</f>
        <v>SUPPLY</v>
      </c>
    </row>
    <row r="363" spans="1:21">
      <c r="A363" s="7">
        <v>49</v>
      </c>
      <c r="B363" s="199" t="s">
        <v>907</v>
      </c>
      <c r="C363" s="200" t="s">
        <v>1131</v>
      </c>
      <c r="D363" s="7">
        <v>5016</v>
      </c>
      <c r="E363" s="72">
        <v>4.21</v>
      </c>
      <c r="H363" s="7"/>
      <c r="I363" s="7">
        <v>209</v>
      </c>
      <c r="J363" s="7">
        <v>0</v>
      </c>
      <c r="K363" s="7">
        <v>0</v>
      </c>
      <c r="L363" s="7">
        <v>1274.0640000000001</v>
      </c>
      <c r="M363" s="7">
        <v>1421.2</v>
      </c>
      <c r="N363" s="7">
        <v>4.7383957499999996</v>
      </c>
      <c r="O363" s="7" t="s">
        <v>170</v>
      </c>
      <c r="P363" s="7">
        <v>100</v>
      </c>
      <c r="Q363" s="7">
        <v>33072000</v>
      </c>
      <c r="R363" s="21" t="s">
        <v>1142</v>
      </c>
      <c r="S363" s="21" t="s">
        <v>1142</v>
      </c>
      <c r="T363" s="21">
        <v>21117.360000000001</v>
      </c>
      <c r="U363" s="21" t="str">
        <f>IFERROR(VLOOKUP(salesHistory[[#This Row],[order_no]],orderHistory[],22,FALSE),"")</f>
        <v>SUPPLY</v>
      </c>
    </row>
    <row r="364" spans="1:21">
      <c r="A364" s="7">
        <v>49</v>
      </c>
      <c r="B364" s="199" t="s">
        <v>909</v>
      </c>
      <c r="C364" s="200" t="s">
        <v>1130</v>
      </c>
      <c r="D364" s="7">
        <v>5016</v>
      </c>
      <c r="E364" s="72">
        <v>4.21</v>
      </c>
      <c r="H364" s="7"/>
      <c r="I364" s="7">
        <v>209</v>
      </c>
      <c r="J364" s="7">
        <v>0</v>
      </c>
      <c r="K364" s="7">
        <v>0</v>
      </c>
      <c r="L364" s="7">
        <v>1274.0640000000001</v>
      </c>
      <c r="M364" s="7">
        <v>1421.2</v>
      </c>
      <c r="N364" s="7">
        <v>4.7383957499999996</v>
      </c>
      <c r="O364" s="7" t="s">
        <v>170</v>
      </c>
      <c r="P364" s="7">
        <v>100</v>
      </c>
      <c r="Q364" s="7">
        <v>33072000</v>
      </c>
      <c r="R364" s="21" t="s">
        <v>1142</v>
      </c>
      <c r="S364" s="21" t="s">
        <v>1142</v>
      </c>
      <c r="T364" s="21">
        <v>21117.360000000001</v>
      </c>
      <c r="U364" s="21" t="str">
        <f>IFERROR(VLOOKUP(salesHistory[[#This Row],[order_no]],orderHistory[],22,FALSE),"")</f>
        <v>SUPPLY</v>
      </c>
    </row>
    <row r="365" spans="1:21">
      <c r="A365" s="7">
        <v>49</v>
      </c>
      <c r="B365" s="199" t="s">
        <v>989</v>
      </c>
      <c r="C365" s="200" t="s">
        <v>990</v>
      </c>
      <c r="D365" s="7">
        <v>14720</v>
      </c>
      <c r="E365" s="72">
        <v>0.158</v>
      </c>
      <c r="H365" s="7"/>
      <c r="I365" s="7" t="s">
        <v>1142</v>
      </c>
      <c r="J365" s="7" t="s">
        <v>1142</v>
      </c>
      <c r="K365" s="7" t="s">
        <v>1142</v>
      </c>
      <c r="L365" s="7" t="s">
        <v>1142</v>
      </c>
      <c r="M365" s="7" t="s">
        <v>1142</v>
      </c>
      <c r="N365" s="7" t="s">
        <v>1142</v>
      </c>
      <c r="O365" s="7">
        <v>0</v>
      </c>
      <c r="P365" s="7">
        <v>0</v>
      </c>
      <c r="Q365" s="7">
        <v>0</v>
      </c>
      <c r="R365" s="21" t="s">
        <v>1142</v>
      </c>
      <c r="S365" s="21" t="s">
        <v>1142</v>
      </c>
      <c r="T365" s="21">
        <v>2325.7600000000002</v>
      </c>
      <c r="U365" s="21" t="str">
        <f>IFERROR(VLOOKUP(salesHistory[[#This Row],[order_no]],orderHistory[],22,FALSE),"")</f>
        <v>SUPPLY</v>
      </c>
    </row>
    <row r="366" spans="1:21">
      <c r="A366" s="439">
        <v>49</v>
      </c>
      <c r="B366" s="440" t="s">
        <v>991</v>
      </c>
      <c r="C366" s="441" t="s">
        <v>992</v>
      </c>
      <c r="D366" s="439">
        <v>14720</v>
      </c>
      <c r="E366" s="442">
        <v>0.158</v>
      </c>
      <c r="F366" s="443"/>
      <c r="G366" s="442"/>
      <c r="H366" s="439"/>
      <c r="I366" s="439" t="s">
        <v>1142</v>
      </c>
      <c r="J366" s="439" t="s">
        <v>1142</v>
      </c>
      <c r="K366" s="439" t="s">
        <v>1142</v>
      </c>
      <c r="L366" s="439" t="s">
        <v>1142</v>
      </c>
      <c r="M366" s="439" t="s">
        <v>1142</v>
      </c>
      <c r="N366" s="439" t="s">
        <v>1142</v>
      </c>
      <c r="O366" s="439">
        <v>0</v>
      </c>
      <c r="P366" s="439">
        <v>0</v>
      </c>
      <c r="Q366" s="439">
        <v>0</v>
      </c>
      <c r="R366" s="444" t="s">
        <v>1142</v>
      </c>
      <c r="S366" s="444" t="s">
        <v>1142</v>
      </c>
      <c r="T366" s="444">
        <v>2325.7600000000002</v>
      </c>
      <c r="U366" s="444" t="str">
        <f>IFERROR(VLOOKUP(salesHistory[[#This Row],[order_no]],orderHistory[],22,FALSE),"")</f>
        <v>SUPPLY</v>
      </c>
    </row>
    <row r="367" spans="1:21">
      <c r="A367" s="7">
        <v>51</v>
      </c>
      <c r="B367" s="199" t="s">
        <v>134</v>
      </c>
      <c r="C367" s="200" t="s">
        <v>135</v>
      </c>
      <c r="D367" s="7">
        <v>4380</v>
      </c>
      <c r="E367" s="72">
        <v>11.68</v>
      </c>
      <c r="H367" s="7"/>
      <c r="I367" s="7">
        <v>183</v>
      </c>
      <c r="J367" s="7">
        <v>0</v>
      </c>
      <c r="K367" s="7">
        <v>0</v>
      </c>
      <c r="L367" s="7">
        <v>1730.1000000000001</v>
      </c>
      <c r="M367" s="7">
        <v>1806.75</v>
      </c>
      <c r="N367" s="7">
        <v>3.1567937499999998</v>
      </c>
      <c r="O367" s="7" t="s">
        <v>128</v>
      </c>
      <c r="P367" s="7">
        <v>100</v>
      </c>
      <c r="Q367" s="7" t="s">
        <v>75</v>
      </c>
      <c r="R367" s="21">
        <v>11.68</v>
      </c>
      <c r="S367" s="21">
        <v>51158.400000000001</v>
      </c>
      <c r="T367" s="21">
        <v>51158.400000000001</v>
      </c>
      <c r="U367" s="21" t="str">
        <f>IFERROR(VLOOKUP(salesHistory[[#This Row],[order_no]],orderHistory[],22,FALSE),"")</f>
        <v>SALE</v>
      </c>
    </row>
    <row r="368" spans="1:21">
      <c r="A368" s="7">
        <v>51</v>
      </c>
      <c r="B368" s="199" t="s">
        <v>36</v>
      </c>
      <c r="C368" s="200" t="s">
        <v>39</v>
      </c>
      <c r="D368" s="7">
        <v>247</v>
      </c>
      <c r="E368" s="72">
        <v>5.23</v>
      </c>
      <c r="H368" s="7"/>
      <c r="I368" s="7">
        <v>21</v>
      </c>
      <c r="J368" s="7">
        <v>0</v>
      </c>
      <c r="K368" s="7">
        <v>0</v>
      </c>
      <c r="L368" s="7">
        <v>103.74</v>
      </c>
      <c r="M368" s="7">
        <v>119.17749999999999</v>
      </c>
      <c r="N368" s="7">
        <v>0.57804175000000002</v>
      </c>
      <c r="O368" s="7" t="s">
        <v>37</v>
      </c>
      <c r="P368" s="7">
        <v>50</v>
      </c>
      <c r="Q368" s="7" t="s">
        <v>1251</v>
      </c>
      <c r="R368" s="21">
        <v>5.23</v>
      </c>
      <c r="S368" s="21">
        <v>1291.8100000000002</v>
      </c>
      <c r="T368" s="21">
        <v>1291.8100000000002</v>
      </c>
      <c r="U368" s="21" t="str">
        <f>IFERROR(VLOOKUP(salesHistory[[#This Row],[order_no]],orderHistory[],22,FALSE),"")</f>
        <v>SALE</v>
      </c>
    </row>
    <row r="369" spans="1:21">
      <c r="A369" s="7">
        <v>51</v>
      </c>
      <c r="B369" s="199" t="s">
        <v>42</v>
      </c>
      <c r="C369" s="200" t="s">
        <v>43</v>
      </c>
      <c r="D369" s="7">
        <v>260</v>
      </c>
      <c r="E369" s="72">
        <v>5.23</v>
      </c>
      <c r="H369" s="7"/>
      <c r="I369" s="7">
        <v>22</v>
      </c>
      <c r="J369" s="7">
        <v>0</v>
      </c>
      <c r="K369" s="7">
        <v>0</v>
      </c>
      <c r="L369" s="7">
        <v>109.2</v>
      </c>
      <c r="M369" s="7">
        <v>125.45</v>
      </c>
      <c r="N369" s="7">
        <v>0.60846500000000003</v>
      </c>
      <c r="O369" s="7" t="s">
        <v>37</v>
      </c>
      <c r="P369" s="7">
        <v>50</v>
      </c>
      <c r="Q369" s="7" t="s">
        <v>1251</v>
      </c>
      <c r="R369" s="21">
        <v>5.23</v>
      </c>
      <c r="S369" s="21">
        <v>1359.8000000000002</v>
      </c>
      <c r="T369" s="21">
        <v>1359.8000000000002</v>
      </c>
      <c r="U369" s="21" t="str">
        <f>IFERROR(VLOOKUP(salesHistory[[#This Row],[order_no]],orderHistory[],22,FALSE),"")</f>
        <v>SALE</v>
      </c>
    </row>
    <row r="370" spans="1:21">
      <c r="A370" s="7">
        <v>51</v>
      </c>
      <c r="B370" s="199" t="s">
        <v>44</v>
      </c>
      <c r="C370" s="200" t="s">
        <v>45</v>
      </c>
      <c r="D370" s="7">
        <v>334</v>
      </c>
      <c r="E370" s="72">
        <v>5.23</v>
      </c>
      <c r="H370" s="7"/>
      <c r="I370" s="7">
        <v>28</v>
      </c>
      <c r="J370" s="7">
        <v>0</v>
      </c>
      <c r="K370" s="7">
        <v>0</v>
      </c>
      <c r="L370" s="7">
        <v>140.28</v>
      </c>
      <c r="M370" s="7">
        <v>161.155</v>
      </c>
      <c r="N370" s="7">
        <v>0.78164349999999994</v>
      </c>
      <c r="O370" s="7" t="s">
        <v>37</v>
      </c>
      <c r="P370" s="7">
        <v>50</v>
      </c>
      <c r="Q370" s="7" t="s">
        <v>1251</v>
      </c>
      <c r="R370" s="21">
        <v>5.23</v>
      </c>
      <c r="S370" s="21">
        <v>1746.8200000000002</v>
      </c>
      <c r="T370" s="21">
        <v>1746.8200000000002</v>
      </c>
      <c r="U370" s="21" t="str">
        <f>IFERROR(VLOOKUP(salesHistory[[#This Row],[order_no]],orderHistory[],22,FALSE),"")</f>
        <v>SALE</v>
      </c>
    </row>
    <row r="371" spans="1:21">
      <c r="A371" s="7">
        <v>51</v>
      </c>
      <c r="B371" s="199" t="s">
        <v>46</v>
      </c>
      <c r="C371" s="200" t="s">
        <v>47</v>
      </c>
      <c r="D371" s="7">
        <v>348</v>
      </c>
      <c r="E371" s="72">
        <v>5.23</v>
      </c>
      <c r="H371" s="7"/>
      <c r="I371" s="7">
        <v>29</v>
      </c>
      <c r="J371" s="7">
        <v>0</v>
      </c>
      <c r="K371" s="7">
        <v>0</v>
      </c>
      <c r="L371" s="7">
        <v>146.16</v>
      </c>
      <c r="M371" s="7">
        <v>167.91</v>
      </c>
      <c r="N371" s="7">
        <v>0.81440699999999999</v>
      </c>
      <c r="O371" s="7" t="s">
        <v>37</v>
      </c>
      <c r="P371" s="7">
        <v>50</v>
      </c>
      <c r="Q371" s="7" t="s">
        <v>1251</v>
      </c>
      <c r="R371" s="21">
        <v>5.23</v>
      </c>
      <c r="S371" s="21">
        <v>1820.0400000000002</v>
      </c>
      <c r="T371" s="21">
        <v>1820.0400000000002</v>
      </c>
      <c r="U371" s="21" t="str">
        <f>IFERROR(VLOOKUP(salesHistory[[#This Row],[order_no]],orderHistory[],22,FALSE),"")</f>
        <v>SALE</v>
      </c>
    </row>
    <row r="372" spans="1:21">
      <c r="A372" s="7">
        <v>51</v>
      </c>
      <c r="B372" s="199" t="s">
        <v>48</v>
      </c>
      <c r="C372" s="200" t="s">
        <v>50</v>
      </c>
      <c r="D372" s="7">
        <v>338</v>
      </c>
      <c r="E372" s="72">
        <v>5.23</v>
      </c>
      <c r="H372" s="7"/>
      <c r="I372" s="7">
        <v>29</v>
      </c>
      <c r="J372" s="7">
        <v>0</v>
      </c>
      <c r="K372" s="7">
        <v>0</v>
      </c>
      <c r="L372" s="7">
        <v>134.63666666666668</v>
      </c>
      <c r="M372" s="7">
        <v>147.875</v>
      </c>
      <c r="N372" s="7">
        <v>0.79100450000000011</v>
      </c>
      <c r="O372" s="7" t="s">
        <v>37</v>
      </c>
      <c r="P372" s="7">
        <v>50</v>
      </c>
      <c r="Q372" s="7" t="s">
        <v>1251</v>
      </c>
      <c r="R372" s="21">
        <v>5.23</v>
      </c>
      <c r="S372" s="21">
        <v>1767.7400000000002</v>
      </c>
      <c r="T372" s="21">
        <v>1767.7400000000002</v>
      </c>
      <c r="U372" s="21" t="str">
        <f>IFERROR(VLOOKUP(salesHistory[[#This Row],[order_no]],orderHistory[],22,FALSE),"")</f>
        <v>SALE</v>
      </c>
    </row>
    <row r="373" spans="1:21">
      <c r="A373" s="7">
        <v>51</v>
      </c>
      <c r="B373" s="199" t="s">
        <v>51</v>
      </c>
      <c r="C373" s="200" t="s">
        <v>52</v>
      </c>
      <c r="D373" s="7">
        <v>0</v>
      </c>
      <c r="E373" s="72">
        <v>5.23</v>
      </c>
      <c r="H373" s="7"/>
      <c r="I373" s="7">
        <v>0</v>
      </c>
      <c r="J373" s="7">
        <v>0</v>
      </c>
      <c r="K373" s="7">
        <v>0</v>
      </c>
      <c r="L373" s="7">
        <v>0</v>
      </c>
      <c r="M373" s="7">
        <v>0</v>
      </c>
      <c r="N373" s="7">
        <v>0</v>
      </c>
      <c r="O373" s="7" t="s">
        <v>37</v>
      </c>
      <c r="P373" s="7">
        <v>50</v>
      </c>
      <c r="Q373" s="7" t="s">
        <v>1251</v>
      </c>
      <c r="R373" s="21">
        <v>5.23</v>
      </c>
      <c r="S373" s="21">
        <v>0</v>
      </c>
      <c r="T373" s="21">
        <v>0</v>
      </c>
      <c r="U373" s="21" t="str">
        <f>IFERROR(VLOOKUP(salesHistory[[#This Row],[order_no]],orderHistory[],22,FALSE),"")</f>
        <v>SALE</v>
      </c>
    </row>
    <row r="374" spans="1:21">
      <c r="A374" s="7">
        <v>51</v>
      </c>
      <c r="B374" s="199" t="s">
        <v>53</v>
      </c>
      <c r="C374" s="200" t="s">
        <v>54</v>
      </c>
      <c r="D374" s="7">
        <v>362</v>
      </c>
      <c r="E374" s="72">
        <v>5.23</v>
      </c>
      <c r="H374" s="7"/>
      <c r="I374" s="7">
        <v>31</v>
      </c>
      <c r="J374" s="7">
        <v>0</v>
      </c>
      <c r="K374" s="7">
        <v>0</v>
      </c>
      <c r="L374" s="7">
        <v>144.19666666666669</v>
      </c>
      <c r="M374" s="7">
        <v>158.375</v>
      </c>
      <c r="N374" s="7">
        <v>0.84717050000000016</v>
      </c>
      <c r="O374" s="7" t="s">
        <v>37</v>
      </c>
      <c r="P374" s="7">
        <v>50</v>
      </c>
      <c r="Q374" s="7" t="s">
        <v>1251</v>
      </c>
      <c r="R374" s="21">
        <v>5.23</v>
      </c>
      <c r="S374" s="21">
        <v>1893.2600000000002</v>
      </c>
      <c r="T374" s="21">
        <v>1893.2600000000002</v>
      </c>
      <c r="U374" s="21" t="str">
        <f>IFERROR(VLOOKUP(salesHistory[[#This Row],[order_no]],orderHistory[],22,FALSE),"")</f>
        <v>SALE</v>
      </c>
    </row>
    <row r="375" spans="1:21">
      <c r="A375" s="439">
        <v>51</v>
      </c>
      <c r="B375" s="440" t="s">
        <v>55</v>
      </c>
      <c r="C375" s="441" t="s">
        <v>56</v>
      </c>
      <c r="D375" s="439">
        <v>396</v>
      </c>
      <c r="E375" s="442">
        <v>5.23</v>
      </c>
      <c r="F375" s="443"/>
      <c r="G375" s="442"/>
      <c r="H375" s="439"/>
      <c r="I375" s="439">
        <v>33</v>
      </c>
      <c r="J375" s="439">
        <v>0</v>
      </c>
      <c r="K375" s="439">
        <v>0</v>
      </c>
      <c r="L375" s="439">
        <v>157.74</v>
      </c>
      <c r="M375" s="439">
        <v>173.25</v>
      </c>
      <c r="N375" s="439">
        <v>0.92673899999999998</v>
      </c>
      <c r="O375" s="439" t="s">
        <v>37</v>
      </c>
      <c r="P375" s="439">
        <v>50</v>
      </c>
      <c r="Q375" s="439" t="s">
        <v>1251</v>
      </c>
      <c r="R375" s="444">
        <v>5.23</v>
      </c>
      <c r="S375" s="444">
        <v>2071.0800000000004</v>
      </c>
      <c r="T375" s="444">
        <v>2071.0800000000004</v>
      </c>
      <c r="U375" s="444" t="str">
        <f>IFERROR(VLOOKUP(salesHistory[[#This Row],[order_no]],orderHistory[],22,FALSE),"")</f>
        <v>SALE</v>
      </c>
    </row>
    <row r="376" spans="1:21">
      <c r="A376" s="439">
        <v>52</v>
      </c>
      <c r="B376" s="440" t="s">
        <v>57</v>
      </c>
      <c r="C376" s="441" t="s">
        <v>58</v>
      </c>
      <c r="D376" s="439">
        <v>3</v>
      </c>
      <c r="E376" s="442"/>
      <c r="F376" s="443"/>
      <c r="G376" s="442"/>
      <c r="H376" s="439"/>
      <c r="I376" s="439">
        <v>1</v>
      </c>
      <c r="J376" s="439">
        <v>0</v>
      </c>
      <c r="K376" s="439">
        <v>0</v>
      </c>
      <c r="L376" s="439">
        <v>1.5425</v>
      </c>
      <c r="M376" s="439">
        <v>1.6924999999999999</v>
      </c>
      <c r="N376" s="439">
        <v>9.7455000000000007E-3</v>
      </c>
      <c r="O376" s="439" t="s">
        <v>37</v>
      </c>
      <c r="P376" s="439">
        <v>50</v>
      </c>
      <c r="Q376" s="439">
        <v>0</v>
      </c>
      <c r="R376" s="444">
        <v>6.97</v>
      </c>
      <c r="S376" s="444">
        <v>20.91</v>
      </c>
      <c r="T376" s="444">
        <v>0</v>
      </c>
      <c r="U376" s="21" t="str">
        <f>IFERROR(VLOOKUP(salesHistory[[#This Row],[order_no]],orderHistory[],22,FALSE),"")</f>
        <v>SAMPLING</v>
      </c>
    </row>
    <row r="377" spans="1:21">
      <c r="A377" s="7">
        <v>52</v>
      </c>
      <c r="B377" s="199" t="s">
        <v>59</v>
      </c>
      <c r="C377" s="200" t="s">
        <v>60</v>
      </c>
      <c r="D377" s="7">
        <v>3</v>
      </c>
      <c r="E377" s="72"/>
      <c r="H377" s="7"/>
      <c r="I377" s="7">
        <v>1</v>
      </c>
      <c r="J377" s="7">
        <v>0</v>
      </c>
      <c r="K377" s="7">
        <v>0</v>
      </c>
      <c r="L377" s="7">
        <v>1.5425</v>
      </c>
      <c r="M377" s="7">
        <v>1.6924999999999999</v>
      </c>
      <c r="N377" s="7">
        <v>9.7455000000000007E-3</v>
      </c>
      <c r="O377" s="7" t="s">
        <v>37</v>
      </c>
      <c r="P377" s="7">
        <v>50</v>
      </c>
      <c r="Q377" s="7">
        <v>0</v>
      </c>
      <c r="R377" s="21">
        <v>6.97</v>
      </c>
      <c r="S377" s="21">
        <v>20.91</v>
      </c>
      <c r="T377" s="21">
        <v>0</v>
      </c>
      <c r="U377" s="21" t="str">
        <f>IFERROR(VLOOKUP(salesHistory[[#This Row],[order_no]],orderHistory[],22,FALSE),"")</f>
        <v>SAMPLING</v>
      </c>
    </row>
    <row r="378" spans="1:21">
      <c r="A378" s="7">
        <v>52</v>
      </c>
      <c r="B378" s="199" t="s">
        <v>61</v>
      </c>
      <c r="C378" s="200" t="s">
        <v>62</v>
      </c>
      <c r="D378" s="7">
        <v>3</v>
      </c>
      <c r="E378" s="72"/>
      <c r="H378" s="7"/>
      <c r="I378" s="7">
        <v>1</v>
      </c>
      <c r="J378" s="7">
        <v>0</v>
      </c>
      <c r="K378" s="7">
        <v>0</v>
      </c>
      <c r="L378" s="7">
        <v>1.5425</v>
      </c>
      <c r="M378" s="7">
        <v>1.6924999999999999</v>
      </c>
      <c r="N378" s="7">
        <v>9.7455000000000007E-3</v>
      </c>
      <c r="O378" s="7" t="s">
        <v>37</v>
      </c>
      <c r="P378" s="7">
        <v>50</v>
      </c>
      <c r="Q378" s="7">
        <v>0</v>
      </c>
      <c r="R378" s="21">
        <v>6.97</v>
      </c>
      <c r="S378" s="21">
        <v>20.91</v>
      </c>
      <c r="T378" s="21">
        <v>0</v>
      </c>
      <c r="U378" s="21" t="str">
        <f>IFERROR(VLOOKUP(salesHistory[[#This Row],[order_no]],orderHistory[],22,FALSE),"")</f>
        <v>SAMPLING</v>
      </c>
    </row>
    <row r="379" spans="1:21">
      <c r="A379" s="439">
        <v>52</v>
      </c>
      <c r="B379" s="440" t="s">
        <v>63</v>
      </c>
      <c r="C379" s="441" t="s">
        <v>64</v>
      </c>
      <c r="D379" s="439">
        <v>3</v>
      </c>
      <c r="E379" s="442"/>
      <c r="F379" s="443"/>
      <c r="G379" s="442"/>
      <c r="H379" s="439"/>
      <c r="I379" s="439">
        <v>1</v>
      </c>
      <c r="J379" s="439">
        <v>0</v>
      </c>
      <c r="K379" s="439">
        <v>0</v>
      </c>
      <c r="L379" s="439">
        <v>1.5425</v>
      </c>
      <c r="M379" s="439">
        <v>1.6924999999999999</v>
      </c>
      <c r="N379" s="439">
        <v>9.7455000000000007E-3</v>
      </c>
      <c r="O379" s="439" t="s">
        <v>37</v>
      </c>
      <c r="P379" s="439">
        <v>50</v>
      </c>
      <c r="Q379" s="439">
        <v>0</v>
      </c>
      <c r="R379" s="444">
        <v>6.97</v>
      </c>
      <c r="S379" s="444">
        <v>20.91</v>
      </c>
      <c r="T379" s="444">
        <v>0</v>
      </c>
      <c r="U379" s="444" t="str">
        <f>IFERROR(VLOOKUP(salesHistory[[#This Row],[order_no]],orderHistory[],22,FALSE),"")</f>
        <v>SAMPLING</v>
      </c>
    </row>
    <row r="380" spans="1:21">
      <c r="A380" s="439">
        <v>53</v>
      </c>
      <c r="B380" s="440" t="s">
        <v>134</v>
      </c>
      <c r="C380" s="441" t="s">
        <v>135</v>
      </c>
      <c r="D380" s="439">
        <v>720</v>
      </c>
      <c r="E380" s="442">
        <v>11.68</v>
      </c>
      <c r="F380" s="443"/>
      <c r="G380" s="442"/>
      <c r="H380" s="439"/>
      <c r="I380" s="439">
        <v>30</v>
      </c>
      <c r="J380" s="439">
        <v>0</v>
      </c>
      <c r="K380" s="439">
        <v>0</v>
      </c>
      <c r="L380" s="439">
        <v>284.40000000000003</v>
      </c>
      <c r="M380" s="439">
        <v>297</v>
      </c>
      <c r="N380" s="439">
        <v>0.51892499999999997</v>
      </c>
      <c r="O380" s="439" t="s">
        <v>128</v>
      </c>
      <c r="P380" s="439">
        <v>100</v>
      </c>
      <c r="Q380" s="439" t="s">
        <v>75</v>
      </c>
      <c r="R380" s="444">
        <v>11.68</v>
      </c>
      <c r="S380" s="444">
        <v>8409.6</v>
      </c>
      <c r="T380" s="444">
        <v>8409.6</v>
      </c>
      <c r="U380" s="444" t="str">
        <f>IFERROR(VLOOKUP(salesHistory[[#This Row],[order_no]],orderHistory[],22,FALSE),"")</f>
        <v>SALE</v>
      </c>
    </row>
  </sheetData>
  <sortState ref="A2:U380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11"/>
  <dimension ref="A1:BA47"/>
  <sheetViews>
    <sheetView topLeftCell="Q1" workbookViewId="0">
      <pane ySplit="1" topLeftCell="A2" activePane="bottomLeft" state="frozen"/>
      <selection activeCell="F32" sqref="F32"/>
      <selection pane="bottomLeft" activeCell="A2" sqref="A2:AP47"/>
    </sheetView>
  </sheetViews>
  <sheetFormatPr defaultColWidth="9.140625" defaultRowHeight="15"/>
  <cols>
    <col min="1" max="1" width="14.28515625" style="17" customWidth="1"/>
    <col min="2" max="2" width="14.28515625" style="93" customWidth="1"/>
    <col min="3" max="3" width="25.7109375" style="17" bestFit="1" customWidth="1"/>
    <col min="4" max="4" width="14.28515625" style="17" customWidth="1"/>
    <col min="5" max="5" width="15.85546875" style="401" customWidth="1"/>
    <col min="6" max="6" width="18.28515625" style="17" customWidth="1"/>
    <col min="7" max="7" width="53.140625" style="17" bestFit="1" customWidth="1"/>
    <col min="8" max="8" width="14.28515625" style="21" customWidth="1"/>
    <col min="9" max="9" width="14.28515625" style="7" customWidth="1"/>
    <col min="10" max="11" width="14.28515625" style="21" customWidth="1"/>
    <col min="12" max="13" width="14.28515625" style="196" customWidth="1"/>
    <col min="14" max="14" width="29.5703125" style="424" customWidth="1"/>
    <col min="15" max="15" width="14.7109375" style="1" customWidth="1"/>
    <col min="16" max="17" width="14.28515625" style="20" customWidth="1"/>
    <col min="18" max="18" width="22" style="1" bestFit="1" customWidth="1"/>
    <col min="19" max="19" width="15.7109375" style="1" customWidth="1"/>
    <col min="20" max="20" width="12.140625" customWidth="1"/>
    <col min="21" max="22" width="14.28515625" style="1" customWidth="1"/>
    <col min="23" max="23" width="54.85546875" style="1" bestFit="1" customWidth="1"/>
    <col min="24" max="27" width="15.85546875" style="1" customWidth="1"/>
    <col min="28" max="28" width="14.28515625" style="20" customWidth="1"/>
    <col min="29" max="29" width="21.42578125" style="172" customWidth="1"/>
    <col min="30" max="30" width="20.85546875" style="20" customWidth="1"/>
    <col min="31" max="31" width="25.42578125" customWidth="1"/>
    <col min="32" max="33" width="21.140625" style="20" customWidth="1"/>
    <col min="34" max="34" width="21.7109375" style="20" customWidth="1"/>
    <col min="35" max="35" width="58.28515625" style="423" customWidth="1"/>
    <col min="36" max="36" width="20.140625" style="20" bestFit="1" customWidth="1"/>
    <col min="37" max="37" width="12.7109375" customWidth="1"/>
    <col min="38" max="38" width="18" style="20" customWidth="1"/>
    <col min="39" max="39" width="18" customWidth="1"/>
    <col min="40" max="41" width="18" style="1" customWidth="1"/>
    <col min="42" max="42" width="14.85546875" style="114" customWidth="1"/>
    <col min="43" max="43" width="11.5703125" style="114" bestFit="1" customWidth="1"/>
  </cols>
  <sheetData>
    <row r="1" spans="1:53" s="90" customFormat="1" ht="42" customHeight="1">
      <c r="A1" s="90" t="s">
        <v>426</v>
      </c>
      <c r="B1" s="90" t="s">
        <v>435</v>
      </c>
      <c r="C1" s="90" t="s">
        <v>436</v>
      </c>
      <c r="D1" s="90" t="s">
        <v>243</v>
      </c>
      <c r="E1" s="399" t="s">
        <v>437</v>
      </c>
      <c r="F1" s="90" t="s">
        <v>438</v>
      </c>
      <c r="G1" s="90" t="s">
        <v>242</v>
      </c>
      <c r="H1" s="90" t="s">
        <v>439</v>
      </c>
      <c r="I1" s="194" t="s">
        <v>440</v>
      </c>
      <c r="J1" s="90" t="s">
        <v>441</v>
      </c>
      <c r="K1" s="90" t="s">
        <v>442</v>
      </c>
      <c r="L1" s="193" t="s">
        <v>15</v>
      </c>
      <c r="M1" s="193" t="s">
        <v>16</v>
      </c>
      <c r="N1" s="90" t="s">
        <v>443</v>
      </c>
      <c r="O1" s="90" t="s">
        <v>444</v>
      </c>
      <c r="P1" s="92" t="s">
        <v>445</v>
      </c>
      <c r="Q1" s="92" t="s">
        <v>446</v>
      </c>
      <c r="R1" s="90" t="s">
        <v>447</v>
      </c>
      <c r="S1" s="90" t="s">
        <v>448</v>
      </c>
      <c r="T1" s="90" t="s">
        <v>449</v>
      </c>
      <c r="U1" s="90" t="s">
        <v>450</v>
      </c>
      <c r="V1" s="90" t="s">
        <v>890</v>
      </c>
      <c r="W1" s="90" t="s">
        <v>451</v>
      </c>
      <c r="X1" s="90" t="s">
        <v>452</v>
      </c>
      <c r="Y1" s="90" t="s">
        <v>453</v>
      </c>
      <c r="Z1" s="90" t="s">
        <v>454</v>
      </c>
      <c r="AA1" s="92" t="s">
        <v>1185</v>
      </c>
      <c r="AB1" s="90" t="s">
        <v>456</v>
      </c>
      <c r="AC1" s="194" t="s">
        <v>457</v>
      </c>
      <c r="AD1" s="90" t="s">
        <v>458</v>
      </c>
      <c r="AE1" s="90" t="s">
        <v>459</v>
      </c>
      <c r="AF1" s="90" t="s">
        <v>460</v>
      </c>
      <c r="AG1" s="90" t="s">
        <v>461</v>
      </c>
      <c r="AH1" s="90" t="s">
        <v>462</v>
      </c>
      <c r="AI1" s="90" t="s">
        <v>463</v>
      </c>
      <c r="AJ1" s="90" t="s">
        <v>464</v>
      </c>
      <c r="AK1" s="90" t="s">
        <v>465</v>
      </c>
      <c r="AL1" s="421" t="s">
        <v>998</v>
      </c>
      <c r="AM1" s="422" t="s">
        <v>999</v>
      </c>
      <c r="AN1" s="422" t="s">
        <v>1000</v>
      </c>
      <c r="AO1" s="422" t="s">
        <v>1001</v>
      </c>
      <c r="AP1" s="116" t="s">
        <v>1298</v>
      </c>
      <c r="AV1" s="90">
        <f>COUNTA(orderHistory[order_no])+2</f>
        <v>48</v>
      </c>
      <c r="AZ1" s="90" t="s">
        <v>881</v>
      </c>
      <c r="BA1" s="90" t="s">
        <v>882</v>
      </c>
    </row>
    <row r="2" spans="1:53">
      <c r="A2" s="458">
        <v>44</v>
      </c>
      <c r="B2" s="534">
        <v>45422</v>
      </c>
      <c r="C2" s="458" t="s">
        <v>940</v>
      </c>
      <c r="D2" s="458" t="s">
        <v>258</v>
      </c>
      <c r="E2" s="535"/>
      <c r="F2" s="458">
        <v>1178</v>
      </c>
      <c r="G2" s="458"/>
      <c r="H2" s="536" t="s">
        <v>759</v>
      </c>
      <c r="I2" s="537">
        <v>18</v>
      </c>
      <c r="J2" s="536">
        <v>10</v>
      </c>
      <c r="K2" s="536">
        <v>4</v>
      </c>
      <c r="L2" s="538">
        <v>5541</v>
      </c>
      <c r="M2" s="538">
        <v>6011</v>
      </c>
      <c r="N2" s="546"/>
      <c r="O2" s="458"/>
      <c r="P2" s="536">
        <v>0</v>
      </c>
      <c r="Q2" s="536" t="b">
        <v>0</v>
      </c>
      <c r="R2" s="536" t="s">
        <v>1258</v>
      </c>
      <c r="S2" s="536" t="s">
        <v>471</v>
      </c>
      <c r="T2" s="458" t="s">
        <v>1195</v>
      </c>
      <c r="U2" s="534">
        <v>45373</v>
      </c>
      <c r="V2" s="534" t="s">
        <v>1002</v>
      </c>
      <c r="W2" s="458"/>
      <c r="X2" s="534"/>
      <c r="Y2" s="534" t="b">
        <v>1</v>
      </c>
      <c r="Z2" s="536">
        <v>0</v>
      </c>
      <c r="AA2" s="536">
        <v>118780.74</v>
      </c>
      <c r="AB2" s="536">
        <v>0</v>
      </c>
      <c r="AC2" s="537">
        <v>0</v>
      </c>
      <c r="AD2" s="536">
        <v>0</v>
      </c>
      <c r="AE2" s="536"/>
      <c r="AF2" s="536">
        <v>0</v>
      </c>
      <c r="AG2" s="536">
        <v>0</v>
      </c>
      <c r="AH2" s="536"/>
      <c r="AI2" s="539"/>
      <c r="AJ2" s="536" t="s">
        <v>894</v>
      </c>
      <c r="AK2" s="536" t="b">
        <v>1</v>
      </c>
      <c r="AL2" s="536"/>
      <c r="AM2" s="536"/>
      <c r="AN2" s="536"/>
      <c r="AO2" s="536"/>
      <c r="AP2" s="115"/>
      <c r="AR2" s="114"/>
      <c r="AS2" s="114"/>
      <c r="AT2" s="114"/>
    </row>
    <row r="3" spans="1:53">
      <c r="A3" s="1">
        <v>28</v>
      </c>
      <c r="B3" s="115">
        <v>45376</v>
      </c>
      <c r="C3" s="1" t="s">
        <v>940</v>
      </c>
      <c r="D3" s="1" t="s">
        <v>258</v>
      </c>
      <c r="E3" s="400"/>
      <c r="F3" s="1">
        <v>342</v>
      </c>
      <c r="G3" s="1"/>
      <c r="H3" s="20" t="s">
        <v>914</v>
      </c>
      <c r="I3" s="197">
        <v>8</v>
      </c>
      <c r="J3" s="20">
        <v>10</v>
      </c>
      <c r="K3" s="20">
        <v>4</v>
      </c>
      <c r="L3" s="205">
        <v>3191</v>
      </c>
      <c r="M3" s="205">
        <v>3336</v>
      </c>
      <c r="N3" s="436"/>
      <c r="P3" s="20">
        <v>0</v>
      </c>
      <c r="Q3" s="20" t="b">
        <v>0</v>
      </c>
      <c r="R3" s="20" t="s">
        <v>1258</v>
      </c>
      <c r="S3" s="20" t="s">
        <v>471</v>
      </c>
      <c r="T3" s="1" t="s">
        <v>1194</v>
      </c>
      <c r="U3" s="115">
        <v>45373</v>
      </c>
      <c r="V3" s="115" t="s">
        <v>1002</v>
      </c>
      <c r="X3" s="115"/>
      <c r="Y3" s="115" t="b">
        <v>1</v>
      </c>
      <c r="Z3" s="20">
        <v>0</v>
      </c>
      <c r="AA3" s="20">
        <v>60404.32</v>
      </c>
      <c r="AB3" s="20">
        <v>0</v>
      </c>
      <c r="AC3" s="197">
        <v>0</v>
      </c>
      <c r="AD3" s="20">
        <v>0</v>
      </c>
      <c r="AE3" s="20"/>
      <c r="AF3" s="20">
        <v>0</v>
      </c>
      <c r="AG3" s="20">
        <v>0</v>
      </c>
      <c r="AJ3" s="20" t="s">
        <v>894</v>
      </c>
      <c r="AK3" s="20" t="b">
        <v>1</v>
      </c>
      <c r="AM3" s="20"/>
      <c r="AN3" s="20"/>
      <c r="AO3" s="20"/>
      <c r="AP3" s="115"/>
      <c r="AR3" s="114"/>
      <c r="AS3" s="114"/>
      <c r="AT3" s="114"/>
    </row>
    <row r="4" spans="1:53">
      <c r="A4" s="458">
        <v>45</v>
      </c>
      <c r="B4" s="534">
        <v>45422</v>
      </c>
      <c r="C4" s="458" t="s">
        <v>940</v>
      </c>
      <c r="D4" s="458" t="s">
        <v>258</v>
      </c>
      <c r="E4" s="535"/>
      <c r="F4" s="458">
        <v>81</v>
      </c>
      <c r="G4" s="458"/>
      <c r="H4" s="536" t="s">
        <v>759</v>
      </c>
      <c r="I4" s="537">
        <v>2</v>
      </c>
      <c r="J4" s="536">
        <v>10</v>
      </c>
      <c r="K4" s="536">
        <v>4</v>
      </c>
      <c r="L4" s="538">
        <v>758</v>
      </c>
      <c r="M4" s="538">
        <v>791</v>
      </c>
      <c r="N4" s="546"/>
      <c r="O4" s="458"/>
      <c r="P4" s="536">
        <v>0</v>
      </c>
      <c r="Q4" s="536" t="b">
        <v>0</v>
      </c>
      <c r="R4" s="536" t="s">
        <v>1258</v>
      </c>
      <c r="S4" s="536" t="s">
        <v>471</v>
      </c>
      <c r="T4" s="458" t="s">
        <v>1196</v>
      </c>
      <c r="U4" s="534">
        <v>45373</v>
      </c>
      <c r="V4" s="534" t="s">
        <v>1002</v>
      </c>
      <c r="W4" s="458"/>
      <c r="X4" s="534"/>
      <c r="Y4" s="534" t="b">
        <v>1</v>
      </c>
      <c r="Z4" s="536">
        <v>0</v>
      </c>
      <c r="AA4" s="536">
        <v>22402.240000000002</v>
      </c>
      <c r="AB4" s="536">
        <v>0</v>
      </c>
      <c r="AC4" s="537">
        <v>0</v>
      </c>
      <c r="AD4" s="536">
        <v>0</v>
      </c>
      <c r="AE4" s="536"/>
      <c r="AF4" s="536">
        <v>0</v>
      </c>
      <c r="AG4" s="536">
        <v>0</v>
      </c>
      <c r="AH4" s="536"/>
      <c r="AI4" s="539"/>
      <c r="AJ4" s="536" t="s">
        <v>894</v>
      </c>
      <c r="AK4" s="536" t="b">
        <v>1</v>
      </c>
      <c r="AL4" s="536"/>
      <c r="AM4" s="536"/>
      <c r="AN4" s="536"/>
      <c r="AO4" s="536"/>
      <c r="AP4" s="115"/>
      <c r="AR4" s="114"/>
      <c r="AS4" s="114"/>
      <c r="AT4" s="114"/>
    </row>
    <row r="5" spans="1:53">
      <c r="A5" s="1">
        <v>29</v>
      </c>
      <c r="B5" s="115">
        <v>45386</v>
      </c>
      <c r="C5" s="1" t="s">
        <v>940</v>
      </c>
      <c r="D5" s="1" t="s">
        <v>258</v>
      </c>
      <c r="E5" s="400"/>
      <c r="F5" s="1">
        <v>1043</v>
      </c>
      <c r="G5" s="1"/>
      <c r="H5" s="20" t="s">
        <v>914</v>
      </c>
      <c r="I5" s="197">
        <v>19</v>
      </c>
      <c r="J5" s="20">
        <v>10</v>
      </c>
      <c r="K5" s="20">
        <v>4</v>
      </c>
      <c r="L5" s="205">
        <v>6528</v>
      </c>
      <c r="M5" s="205">
        <v>7213</v>
      </c>
      <c r="N5" s="436" t="s">
        <v>1128</v>
      </c>
      <c r="P5" s="20">
        <v>0</v>
      </c>
      <c r="Q5" s="20" t="b">
        <v>0</v>
      </c>
      <c r="R5" s="20" t="s">
        <v>1258</v>
      </c>
      <c r="S5" s="20" t="s">
        <v>471</v>
      </c>
      <c r="T5" s="1" t="s">
        <v>1198</v>
      </c>
      <c r="U5" s="115">
        <v>45316</v>
      </c>
      <c r="V5" s="115" t="s">
        <v>1002</v>
      </c>
      <c r="X5" s="115"/>
      <c r="Y5" s="115" t="b">
        <v>1</v>
      </c>
      <c r="Z5" s="20">
        <v>0</v>
      </c>
      <c r="AA5" s="20">
        <v>110036.24</v>
      </c>
      <c r="AB5" s="20">
        <v>0</v>
      </c>
      <c r="AC5" s="197">
        <v>0</v>
      </c>
      <c r="AD5" s="20">
        <v>0</v>
      </c>
      <c r="AE5" s="20"/>
      <c r="AF5" s="20">
        <v>0</v>
      </c>
      <c r="AG5" s="20">
        <v>0</v>
      </c>
      <c r="AJ5" s="20" t="s">
        <v>894</v>
      </c>
      <c r="AK5" s="20" t="b">
        <v>1</v>
      </c>
      <c r="AM5" s="20"/>
      <c r="AN5" s="20"/>
      <c r="AO5" s="20"/>
      <c r="AP5" s="115"/>
      <c r="AR5" s="114"/>
      <c r="AS5" s="114"/>
      <c r="AT5" s="114"/>
    </row>
    <row r="6" spans="1:53">
      <c r="A6" s="1">
        <v>19</v>
      </c>
      <c r="B6" s="115">
        <v>45401</v>
      </c>
      <c r="C6" s="1" t="s">
        <v>940</v>
      </c>
      <c r="D6" s="1" t="s">
        <v>258</v>
      </c>
      <c r="E6" s="400"/>
      <c r="F6" s="1">
        <v>1120</v>
      </c>
      <c r="G6" s="1"/>
      <c r="H6" s="20" t="s">
        <v>914</v>
      </c>
      <c r="I6" s="197">
        <v>0</v>
      </c>
      <c r="J6" s="20">
        <v>10</v>
      </c>
      <c r="K6" s="20">
        <v>4</v>
      </c>
      <c r="L6" s="205">
        <v>7112</v>
      </c>
      <c r="M6" s="205">
        <v>7840</v>
      </c>
      <c r="N6" s="436"/>
      <c r="P6" s="20">
        <v>0</v>
      </c>
      <c r="Q6" s="20" t="b">
        <v>0</v>
      </c>
      <c r="R6" s="20" t="s">
        <v>1258</v>
      </c>
      <c r="S6" s="20" t="s">
        <v>471</v>
      </c>
      <c r="T6" s="1" t="s">
        <v>1199</v>
      </c>
      <c r="U6" s="115">
        <v>45340</v>
      </c>
      <c r="V6" s="115" t="s">
        <v>1002</v>
      </c>
      <c r="X6" s="115"/>
      <c r="Y6" s="115" t="b">
        <v>1</v>
      </c>
      <c r="Z6" s="20">
        <v>0</v>
      </c>
      <c r="AA6" s="20">
        <v>55104</v>
      </c>
      <c r="AB6" s="20">
        <v>0</v>
      </c>
      <c r="AC6" s="197">
        <v>0</v>
      </c>
      <c r="AD6" s="20">
        <v>0</v>
      </c>
      <c r="AE6" s="20"/>
      <c r="AF6" s="20">
        <v>0</v>
      </c>
      <c r="AG6" s="20">
        <v>0</v>
      </c>
      <c r="AJ6" s="20" t="s">
        <v>894</v>
      </c>
      <c r="AK6" s="20" t="b">
        <v>1</v>
      </c>
      <c r="AM6" s="20"/>
      <c r="AN6" s="20"/>
      <c r="AO6" s="20"/>
      <c r="AP6" s="115"/>
      <c r="AR6" s="114"/>
      <c r="AS6" s="114"/>
      <c r="AT6" s="114"/>
    </row>
    <row r="7" spans="1:53">
      <c r="A7" s="458">
        <v>43</v>
      </c>
      <c r="B7" s="534">
        <v>45422</v>
      </c>
      <c r="C7" s="458" t="s">
        <v>940</v>
      </c>
      <c r="D7" s="458" t="s">
        <v>258</v>
      </c>
      <c r="E7" s="535"/>
      <c r="F7" s="458">
        <v>29</v>
      </c>
      <c r="G7" s="458"/>
      <c r="H7" s="536" t="s">
        <v>914</v>
      </c>
      <c r="I7" s="537">
        <v>1</v>
      </c>
      <c r="J7" s="536">
        <v>10</v>
      </c>
      <c r="K7" s="536">
        <v>4</v>
      </c>
      <c r="L7" s="538">
        <v>259</v>
      </c>
      <c r="M7" s="538">
        <v>270</v>
      </c>
      <c r="N7" s="546"/>
      <c r="O7" s="458"/>
      <c r="P7" s="536">
        <v>0</v>
      </c>
      <c r="Q7" s="536" t="b">
        <v>0</v>
      </c>
      <c r="R7" s="536" t="s">
        <v>1258</v>
      </c>
      <c r="S7" s="536" t="s">
        <v>471</v>
      </c>
      <c r="T7" s="458" t="s">
        <v>1200</v>
      </c>
      <c r="U7" s="534">
        <v>45419</v>
      </c>
      <c r="V7" s="534" t="s">
        <v>1002</v>
      </c>
      <c r="W7" s="458"/>
      <c r="X7" s="534"/>
      <c r="Y7" s="534" t="b">
        <v>1</v>
      </c>
      <c r="Z7" s="536">
        <v>0</v>
      </c>
      <c r="AA7" s="536">
        <v>0</v>
      </c>
      <c r="AB7" s="536">
        <v>0</v>
      </c>
      <c r="AC7" s="537">
        <v>0</v>
      </c>
      <c r="AD7" s="536">
        <v>0</v>
      </c>
      <c r="AE7" s="536"/>
      <c r="AF7" s="536">
        <v>0</v>
      </c>
      <c r="AG7" s="536">
        <v>0</v>
      </c>
      <c r="AH7" s="536"/>
      <c r="AI7" s="539"/>
      <c r="AJ7" s="536" t="s">
        <v>894</v>
      </c>
      <c r="AK7" s="536" t="b">
        <v>1</v>
      </c>
      <c r="AL7" s="536"/>
      <c r="AM7" s="536"/>
      <c r="AN7" s="536"/>
      <c r="AO7" s="536"/>
      <c r="AP7" s="115"/>
      <c r="AR7" s="114"/>
      <c r="AS7" s="114"/>
      <c r="AT7" s="114"/>
    </row>
    <row r="8" spans="1:53">
      <c r="A8" s="458">
        <v>42</v>
      </c>
      <c r="B8" s="534">
        <v>45422</v>
      </c>
      <c r="C8" s="458" t="s">
        <v>940</v>
      </c>
      <c r="D8" s="458" t="s">
        <v>258</v>
      </c>
      <c r="E8" s="535"/>
      <c r="F8" s="458">
        <v>322</v>
      </c>
      <c r="G8" s="458"/>
      <c r="H8" s="536" t="s">
        <v>914</v>
      </c>
      <c r="I8" s="537">
        <v>5</v>
      </c>
      <c r="J8" s="536">
        <v>10</v>
      </c>
      <c r="K8" s="536">
        <v>4</v>
      </c>
      <c r="L8" s="538">
        <v>1534</v>
      </c>
      <c r="M8" s="538">
        <v>1662</v>
      </c>
      <c r="N8" s="586"/>
      <c r="O8" s="458"/>
      <c r="P8" s="536">
        <v>0</v>
      </c>
      <c r="Q8" s="536" t="b">
        <v>0</v>
      </c>
      <c r="R8" s="536" t="s">
        <v>1258</v>
      </c>
      <c r="S8" s="536" t="s">
        <v>471</v>
      </c>
      <c r="T8" s="458" t="s">
        <v>1201</v>
      </c>
      <c r="U8" s="534">
        <v>45419</v>
      </c>
      <c r="V8" s="534" t="s">
        <v>1002</v>
      </c>
      <c r="W8" s="458"/>
      <c r="X8" s="534"/>
      <c r="Y8" s="534" t="b">
        <v>1</v>
      </c>
      <c r="Z8" s="536">
        <v>0</v>
      </c>
      <c r="AA8" s="536">
        <v>33846.550000000003</v>
      </c>
      <c r="AB8" s="536">
        <v>0</v>
      </c>
      <c r="AC8" s="537">
        <v>0</v>
      </c>
      <c r="AD8" s="536">
        <v>0</v>
      </c>
      <c r="AE8" s="536"/>
      <c r="AF8" s="536">
        <v>0</v>
      </c>
      <c r="AG8" s="536">
        <v>0</v>
      </c>
      <c r="AH8" s="536"/>
      <c r="AI8" s="539"/>
      <c r="AJ8" s="536" t="s">
        <v>894</v>
      </c>
      <c r="AK8" s="536" t="b">
        <v>1</v>
      </c>
      <c r="AL8" s="536"/>
      <c r="AM8" s="536"/>
      <c r="AN8" s="536"/>
      <c r="AO8" s="536"/>
      <c r="AP8" s="115"/>
      <c r="AR8" s="114"/>
      <c r="AS8" s="114"/>
      <c r="AT8" s="114"/>
    </row>
    <row r="9" spans="1:53">
      <c r="A9" s="1">
        <v>30</v>
      </c>
      <c r="B9" s="115">
        <v>45386</v>
      </c>
      <c r="C9" s="1" t="s">
        <v>940</v>
      </c>
      <c r="D9" s="1" t="s">
        <v>258</v>
      </c>
      <c r="E9" s="400"/>
      <c r="F9" s="1">
        <v>450</v>
      </c>
      <c r="G9" s="1"/>
      <c r="H9" s="20" t="s">
        <v>914</v>
      </c>
      <c r="I9" s="197">
        <v>10</v>
      </c>
      <c r="J9" s="20">
        <v>10</v>
      </c>
      <c r="K9" s="20">
        <v>4</v>
      </c>
      <c r="L9" s="205">
        <v>3271</v>
      </c>
      <c r="M9" s="205">
        <v>3412</v>
      </c>
      <c r="N9" s="436"/>
      <c r="P9" s="20">
        <v>0</v>
      </c>
      <c r="Q9" s="20" t="b">
        <v>0</v>
      </c>
      <c r="R9" s="20" t="s">
        <v>1258</v>
      </c>
      <c r="S9" s="20" t="s">
        <v>471</v>
      </c>
      <c r="T9" s="1" t="s">
        <v>1197</v>
      </c>
      <c r="U9" s="115">
        <v>45391</v>
      </c>
      <c r="V9" s="115" t="s">
        <v>1002</v>
      </c>
      <c r="X9" s="115"/>
      <c r="Y9" s="115" t="b">
        <v>1</v>
      </c>
      <c r="Z9" s="20">
        <v>0</v>
      </c>
      <c r="AA9" s="20">
        <v>17625.599999999999</v>
      </c>
      <c r="AB9" s="20">
        <v>0</v>
      </c>
      <c r="AC9" s="197">
        <v>0</v>
      </c>
      <c r="AD9" s="20">
        <v>0</v>
      </c>
      <c r="AE9" s="20"/>
      <c r="AF9" s="20">
        <v>0</v>
      </c>
      <c r="AG9" s="20">
        <v>0</v>
      </c>
      <c r="AJ9" s="20" t="s">
        <v>894</v>
      </c>
      <c r="AK9" s="20" t="b">
        <v>1</v>
      </c>
      <c r="AM9" s="20"/>
      <c r="AN9" s="20"/>
      <c r="AO9" s="20"/>
      <c r="AP9" s="115"/>
      <c r="AR9" s="114"/>
      <c r="AS9" s="114"/>
      <c r="AT9" s="114"/>
    </row>
    <row r="10" spans="1:53">
      <c r="A10" s="458">
        <v>46</v>
      </c>
      <c r="B10" s="534">
        <v>45379</v>
      </c>
      <c r="C10" s="458" t="s">
        <v>329</v>
      </c>
      <c r="D10" s="458" t="s">
        <v>258</v>
      </c>
      <c r="E10" s="535"/>
      <c r="F10" s="458">
        <v>1906</v>
      </c>
      <c r="G10" s="458" t="s">
        <v>369</v>
      </c>
      <c r="H10" s="536" t="s">
        <v>759</v>
      </c>
      <c r="I10" s="537">
        <v>0</v>
      </c>
      <c r="J10" s="536">
        <v>10</v>
      </c>
      <c r="K10" s="536">
        <v>4</v>
      </c>
      <c r="L10" s="538">
        <v>0</v>
      </c>
      <c r="M10" s="538">
        <v>0</v>
      </c>
      <c r="N10" s="546" t="s">
        <v>1203</v>
      </c>
      <c r="O10" s="458"/>
      <c r="P10" s="536">
        <v>0</v>
      </c>
      <c r="Q10" s="536" t="b">
        <v>0</v>
      </c>
      <c r="R10" s="536" t="s">
        <v>1258</v>
      </c>
      <c r="S10" s="536" t="s">
        <v>471</v>
      </c>
      <c r="T10" s="458" t="s">
        <v>1202</v>
      </c>
      <c r="U10" s="534">
        <v>45379</v>
      </c>
      <c r="V10" s="534" t="s">
        <v>1002</v>
      </c>
      <c r="W10" s="458" t="s">
        <v>328</v>
      </c>
      <c r="X10" s="534"/>
      <c r="Y10" s="534" t="b">
        <v>1</v>
      </c>
      <c r="Z10" s="536">
        <v>0</v>
      </c>
      <c r="AA10" s="536">
        <v>84994.559999999998</v>
      </c>
      <c r="AB10" s="536">
        <v>0</v>
      </c>
      <c r="AC10" s="537">
        <v>0</v>
      </c>
      <c r="AD10" s="536">
        <v>0</v>
      </c>
      <c r="AE10" s="536"/>
      <c r="AF10" s="536">
        <v>0</v>
      </c>
      <c r="AG10" s="536">
        <v>0</v>
      </c>
      <c r="AH10" s="536"/>
      <c r="AI10" s="539"/>
      <c r="AJ10" s="536" t="s">
        <v>894</v>
      </c>
      <c r="AK10" s="536" t="b">
        <v>1</v>
      </c>
      <c r="AL10" s="536"/>
      <c r="AM10" s="536"/>
      <c r="AN10" s="536"/>
      <c r="AO10" s="536"/>
      <c r="AP10" s="533">
        <v>0</v>
      </c>
      <c r="AR10" s="114"/>
      <c r="AS10" s="114"/>
      <c r="AT10" s="114"/>
    </row>
    <row r="11" spans="1:53">
      <c r="A11" s="458">
        <v>47</v>
      </c>
      <c r="B11" s="547">
        <v>0</v>
      </c>
      <c r="C11" s="458" t="s">
        <v>329</v>
      </c>
      <c r="D11" s="458" t="s">
        <v>258</v>
      </c>
      <c r="E11" s="535"/>
      <c r="F11" s="458">
        <v>1160</v>
      </c>
      <c r="G11" s="458" t="s">
        <v>369</v>
      </c>
      <c r="H11" s="536" t="s">
        <v>759</v>
      </c>
      <c r="I11" s="537">
        <v>21</v>
      </c>
      <c r="J11" s="536">
        <v>10</v>
      </c>
      <c r="K11" s="536">
        <v>4</v>
      </c>
      <c r="L11" s="538">
        <v>8599</v>
      </c>
      <c r="M11" s="538">
        <v>9108</v>
      </c>
      <c r="N11" s="546" t="s">
        <v>1205</v>
      </c>
      <c r="O11" s="458"/>
      <c r="P11" s="536">
        <v>0</v>
      </c>
      <c r="Q11" s="536" t="b">
        <v>0</v>
      </c>
      <c r="R11" s="536" t="s">
        <v>1258</v>
      </c>
      <c r="S11" s="536" t="s">
        <v>471</v>
      </c>
      <c r="T11" s="458" t="s">
        <v>1204</v>
      </c>
      <c r="U11" s="534">
        <v>45373</v>
      </c>
      <c r="V11" s="534" t="s">
        <v>1002</v>
      </c>
      <c r="W11" s="458" t="s">
        <v>328</v>
      </c>
      <c r="X11" s="534"/>
      <c r="Y11" s="534" t="b">
        <v>1</v>
      </c>
      <c r="Z11" s="536">
        <v>0</v>
      </c>
      <c r="AA11" s="536">
        <v>36974.589999999997</v>
      </c>
      <c r="AB11" s="536">
        <v>0</v>
      </c>
      <c r="AC11" s="537">
        <v>0</v>
      </c>
      <c r="AD11" s="536">
        <v>0</v>
      </c>
      <c r="AE11" s="536"/>
      <c r="AF11" s="536">
        <v>0</v>
      </c>
      <c r="AG11" s="536">
        <v>0</v>
      </c>
      <c r="AH11" s="536"/>
      <c r="AI11" s="539"/>
      <c r="AJ11" s="536" t="s">
        <v>894</v>
      </c>
      <c r="AK11" s="536" t="b">
        <v>1</v>
      </c>
      <c r="AL11" s="536"/>
      <c r="AM11" s="536"/>
      <c r="AN11" s="536"/>
      <c r="AO11" s="536"/>
      <c r="AP11" s="115"/>
      <c r="AR11" s="114"/>
      <c r="AS11" s="114"/>
      <c r="AT11" s="114"/>
    </row>
    <row r="12" spans="1:53">
      <c r="A12" s="458">
        <v>49</v>
      </c>
      <c r="B12" s="534">
        <v>45427</v>
      </c>
      <c r="C12" s="458" t="s">
        <v>329</v>
      </c>
      <c r="D12" s="458" t="s">
        <v>258</v>
      </c>
      <c r="E12" s="535"/>
      <c r="F12" s="458">
        <v>1043</v>
      </c>
      <c r="G12" s="458" t="s">
        <v>369</v>
      </c>
      <c r="H12" s="536" t="s">
        <v>914</v>
      </c>
      <c r="I12" s="537">
        <v>19</v>
      </c>
      <c r="J12" s="536">
        <v>10</v>
      </c>
      <c r="K12" s="536">
        <v>4</v>
      </c>
      <c r="L12" s="538">
        <v>6528</v>
      </c>
      <c r="M12" s="538">
        <v>7213</v>
      </c>
      <c r="N12" s="589"/>
      <c r="O12" s="458"/>
      <c r="P12" s="536">
        <v>0</v>
      </c>
      <c r="Q12" s="536" t="b">
        <v>0</v>
      </c>
      <c r="R12" s="536" t="s">
        <v>1258</v>
      </c>
      <c r="S12" s="536" t="s">
        <v>471</v>
      </c>
      <c r="T12" s="458" t="s">
        <v>1244</v>
      </c>
      <c r="U12" s="534">
        <v>45316</v>
      </c>
      <c r="V12" s="534" t="s">
        <v>1002</v>
      </c>
      <c r="W12" s="458" t="s">
        <v>328</v>
      </c>
      <c r="X12" s="534"/>
      <c r="Y12" s="534" t="b">
        <v>1</v>
      </c>
      <c r="Z12" s="536">
        <v>0</v>
      </c>
      <c r="AA12" s="536">
        <v>110036.24</v>
      </c>
      <c r="AB12" s="536">
        <v>0</v>
      </c>
      <c r="AC12" s="537">
        <v>0</v>
      </c>
      <c r="AD12" s="536">
        <v>0</v>
      </c>
      <c r="AE12" s="536"/>
      <c r="AF12" s="536">
        <v>0</v>
      </c>
      <c r="AG12" s="536">
        <v>0</v>
      </c>
      <c r="AH12" s="536"/>
      <c r="AI12" s="539"/>
      <c r="AJ12" s="536" t="s">
        <v>894</v>
      </c>
      <c r="AK12" s="536" t="b">
        <v>1</v>
      </c>
      <c r="AL12" s="536"/>
      <c r="AM12" s="536"/>
      <c r="AN12" s="536"/>
      <c r="AO12" s="536"/>
      <c r="AP12" s="115"/>
      <c r="AR12" s="114"/>
      <c r="AS12" s="114"/>
      <c r="AT12" s="114"/>
    </row>
    <row r="13" spans="1:53">
      <c r="A13" s="458">
        <v>48</v>
      </c>
      <c r="B13" s="534">
        <v>45426</v>
      </c>
      <c r="C13" s="458" t="s">
        <v>940</v>
      </c>
      <c r="D13" s="458" t="s">
        <v>258</v>
      </c>
      <c r="E13" s="535"/>
      <c r="F13" s="458">
        <v>14</v>
      </c>
      <c r="G13" s="458"/>
      <c r="H13" s="536" t="s">
        <v>759</v>
      </c>
      <c r="I13" s="537">
        <v>1</v>
      </c>
      <c r="J13" s="536">
        <v>10</v>
      </c>
      <c r="K13" s="536">
        <v>4</v>
      </c>
      <c r="L13" s="538">
        <v>97</v>
      </c>
      <c r="M13" s="538">
        <v>102</v>
      </c>
      <c r="N13" s="589"/>
      <c r="O13" s="458"/>
      <c r="P13" s="536">
        <v>0</v>
      </c>
      <c r="Q13" s="536" t="b">
        <v>0</v>
      </c>
      <c r="R13" s="536" t="s">
        <v>468</v>
      </c>
      <c r="S13" s="536" t="s">
        <v>469</v>
      </c>
      <c r="T13" s="458">
        <v>52484</v>
      </c>
      <c r="U13" s="534">
        <v>45424</v>
      </c>
      <c r="V13" s="534" t="s">
        <v>1002</v>
      </c>
      <c r="W13" s="458"/>
      <c r="X13" s="534"/>
      <c r="Y13" s="534" t="b">
        <v>0</v>
      </c>
      <c r="Z13" s="536">
        <v>0</v>
      </c>
      <c r="AA13" s="536">
        <v>1676.6</v>
      </c>
      <c r="AB13" s="536">
        <v>0</v>
      </c>
      <c r="AC13" s="537">
        <v>0</v>
      </c>
      <c r="AD13" s="536">
        <v>0</v>
      </c>
      <c r="AE13" s="536"/>
      <c r="AF13" s="536">
        <v>0</v>
      </c>
      <c r="AG13" s="536">
        <v>0</v>
      </c>
      <c r="AH13" s="536"/>
      <c r="AI13" s="539"/>
      <c r="AJ13" s="536" t="s">
        <v>894</v>
      </c>
      <c r="AK13" s="536" t="b">
        <v>1</v>
      </c>
      <c r="AL13" s="536"/>
      <c r="AM13" s="536"/>
      <c r="AN13" s="536"/>
      <c r="AO13" s="536"/>
      <c r="AP13" s="115"/>
      <c r="AR13" s="114"/>
      <c r="AS13" s="114"/>
      <c r="AT13" s="114"/>
    </row>
    <row r="14" spans="1:53">
      <c r="A14" s="458">
        <v>53</v>
      </c>
      <c r="B14" s="534">
        <v>45436</v>
      </c>
      <c r="C14" s="458" t="s">
        <v>329</v>
      </c>
      <c r="D14" s="458" t="s">
        <v>258</v>
      </c>
      <c r="E14" s="535"/>
      <c r="F14" s="458">
        <v>30</v>
      </c>
      <c r="G14" s="458" t="s">
        <v>369</v>
      </c>
      <c r="H14" s="536" t="s">
        <v>759</v>
      </c>
      <c r="I14" s="537">
        <v>1</v>
      </c>
      <c r="J14" s="536">
        <v>10</v>
      </c>
      <c r="K14" s="536">
        <v>4</v>
      </c>
      <c r="L14" s="538">
        <v>284</v>
      </c>
      <c r="M14" s="538">
        <v>297</v>
      </c>
      <c r="N14" s="546" t="s">
        <v>1313</v>
      </c>
      <c r="O14" s="458" t="s">
        <v>1306</v>
      </c>
      <c r="P14" s="536">
        <v>0</v>
      </c>
      <c r="Q14" s="536" t="b">
        <v>0</v>
      </c>
      <c r="R14" s="536" t="s">
        <v>1258</v>
      </c>
      <c r="S14" s="536" t="s">
        <v>471</v>
      </c>
      <c r="T14" s="458">
        <v>175</v>
      </c>
      <c r="U14" s="534">
        <v>45436</v>
      </c>
      <c r="V14" s="534" t="s">
        <v>857</v>
      </c>
      <c r="W14" s="458" t="s">
        <v>1257</v>
      </c>
      <c r="X14" s="534"/>
      <c r="Y14" s="534" t="b">
        <v>0</v>
      </c>
      <c r="Z14" s="536">
        <v>8409.6</v>
      </c>
      <c r="AA14" s="536">
        <v>8409.6</v>
      </c>
      <c r="AB14" s="536">
        <v>0</v>
      </c>
      <c r="AC14" s="537">
        <v>0</v>
      </c>
      <c r="AD14" s="536">
        <v>0</v>
      </c>
      <c r="AE14" s="536"/>
      <c r="AF14" s="536">
        <v>0</v>
      </c>
      <c r="AG14" s="536">
        <v>0</v>
      </c>
      <c r="AH14" s="536"/>
      <c r="AI14" s="539"/>
      <c r="AJ14" s="536" t="s">
        <v>1305</v>
      </c>
      <c r="AK14" s="536" t="b">
        <v>1</v>
      </c>
      <c r="AL14" s="536"/>
      <c r="AM14" s="536"/>
      <c r="AN14" s="536"/>
      <c r="AO14" s="536"/>
      <c r="AP14" s="534">
        <v>45436</v>
      </c>
      <c r="AR14" s="114"/>
      <c r="AS14" s="114"/>
      <c r="AT14" s="114"/>
    </row>
    <row r="15" spans="1:53">
      <c r="A15" s="458">
        <v>34</v>
      </c>
      <c r="B15" s="534">
        <v>45397</v>
      </c>
      <c r="C15" s="458" t="s">
        <v>922</v>
      </c>
      <c r="D15" s="458" t="s">
        <v>258</v>
      </c>
      <c r="E15" s="535"/>
      <c r="F15" s="458">
        <v>48</v>
      </c>
      <c r="G15" s="458" t="s">
        <v>379</v>
      </c>
      <c r="H15" s="536" t="s">
        <v>759</v>
      </c>
      <c r="I15" s="537">
        <v>1</v>
      </c>
      <c r="J15" s="536">
        <v>10</v>
      </c>
      <c r="K15" s="536">
        <v>4</v>
      </c>
      <c r="L15" s="538">
        <v>448</v>
      </c>
      <c r="M15" s="538">
        <v>468</v>
      </c>
      <c r="N15" s="541" t="s">
        <v>1255</v>
      </c>
      <c r="O15" s="458" t="s">
        <v>934</v>
      </c>
      <c r="P15" s="536">
        <v>460</v>
      </c>
      <c r="Q15" s="536" t="b">
        <v>1</v>
      </c>
      <c r="R15" s="536" t="s">
        <v>1258</v>
      </c>
      <c r="S15" s="536" t="s">
        <v>743</v>
      </c>
      <c r="T15" s="458">
        <v>174</v>
      </c>
      <c r="U15" s="534">
        <v>45435</v>
      </c>
      <c r="V15" s="534" t="s">
        <v>857</v>
      </c>
      <c r="W15" s="458" t="s">
        <v>378</v>
      </c>
      <c r="X15" s="534"/>
      <c r="Y15" s="534" t="b">
        <v>0</v>
      </c>
      <c r="Z15" s="536">
        <v>13303.52</v>
      </c>
      <c r="AA15" s="536">
        <v>12825</v>
      </c>
      <c r="AB15" s="536">
        <v>-478.52</v>
      </c>
      <c r="AC15" s="537">
        <v>0</v>
      </c>
      <c r="AD15" s="536">
        <v>0</v>
      </c>
      <c r="AE15" s="536"/>
      <c r="AF15" s="536">
        <v>0</v>
      </c>
      <c r="AG15" s="536">
        <v>0</v>
      </c>
      <c r="AH15" s="536"/>
      <c r="AI15" s="539" t="s">
        <v>1254</v>
      </c>
      <c r="AJ15" s="536" t="s">
        <v>894</v>
      </c>
      <c r="AK15" s="536" t="b">
        <v>1</v>
      </c>
      <c r="AL15" s="536"/>
      <c r="AM15" s="536"/>
      <c r="AN15" s="536"/>
      <c r="AO15" s="536"/>
      <c r="AP15" s="115">
        <v>45435</v>
      </c>
      <c r="AR15" s="114"/>
      <c r="AS15" s="114"/>
      <c r="AT15" s="114"/>
    </row>
    <row r="16" spans="1:53">
      <c r="A16" s="458">
        <v>38</v>
      </c>
      <c r="B16" s="534">
        <v>45411</v>
      </c>
      <c r="C16" s="458" t="s">
        <v>945</v>
      </c>
      <c r="D16" s="458" t="s">
        <v>258</v>
      </c>
      <c r="E16" s="535"/>
      <c r="F16" s="458">
        <v>9</v>
      </c>
      <c r="G16" s="458" t="s">
        <v>257</v>
      </c>
      <c r="H16" s="536" t="s">
        <v>759</v>
      </c>
      <c r="I16" s="537">
        <v>1</v>
      </c>
      <c r="J16" s="536">
        <v>10</v>
      </c>
      <c r="K16" s="536">
        <v>4</v>
      </c>
      <c r="L16" s="538">
        <v>0</v>
      </c>
      <c r="M16" s="538">
        <v>0</v>
      </c>
      <c r="N16" s="548" t="s">
        <v>1155</v>
      </c>
      <c r="O16" s="458" t="s">
        <v>1260</v>
      </c>
      <c r="P16" s="536">
        <v>0</v>
      </c>
      <c r="Q16" s="536" t="b">
        <v>0</v>
      </c>
      <c r="R16" s="536" t="s">
        <v>1258</v>
      </c>
      <c r="S16" s="536" t="s">
        <v>471</v>
      </c>
      <c r="T16" s="458">
        <v>173</v>
      </c>
      <c r="U16" s="534">
        <v>45435</v>
      </c>
      <c r="V16" s="534" t="s">
        <v>857</v>
      </c>
      <c r="W16" s="458" t="s">
        <v>781</v>
      </c>
      <c r="X16" s="534"/>
      <c r="Y16" s="534" t="b">
        <v>0</v>
      </c>
      <c r="Z16" s="536">
        <v>0</v>
      </c>
      <c r="AA16" s="536">
        <v>10225.799999999999</v>
      </c>
      <c r="AB16" s="536">
        <v>10225.799999999999</v>
      </c>
      <c r="AC16" s="537">
        <v>0</v>
      </c>
      <c r="AD16" s="536">
        <v>0</v>
      </c>
      <c r="AE16" s="536"/>
      <c r="AF16" s="536">
        <v>0</v>
      </c>
      <c r="AG16" s="536">
        <v>0</v>
      </c>
      <c r="AH16" s="536"/>
      <c r="AI16" s="539"/>
      <c r="AJ16" s="536" t="s">
        <v>894</v>
      </c>
      <c r="AK16" s="536" t="b">
        <v>1</v>
      </c>
      <c r="AL16" s="536"/>
      <c r="AM16" s="536"/>
      <c r="AN16" s="536"/>
      <c r="AO16" s="536"/>
      <c r="AP16" s="115">
        <v>45435</v>
      </c>
      <c r="AR16" s="114"/>
      <c r="AS16" s="114"/>
      <c r="AT16" s="114"/>
    </row>
    <row r="17" spans="1:46">
      <c r="A17" s="458">
        <v>41</v>
      </c>
      <c r="B17" s="534">
        <v>45420</v>
      </c>
      <c r="C17" s="458" t="s">
        <v>945</v>
      </c>
      <c r="D17" s="458" t="s">
        <v>258</v>
      </c>
      <c r="E17" s="535">
        <v>0.85175000000000001</v>
      </c>
      <c r="F17" s="458">
        <v>20</v>
      </c>
      <c r="G17" s="458" t="s">
        <v>257</v>
      </c>
      <c r="H17" s="536" t="s">
        <v>914</v>
      </c>
      <c r="I17" s="537">
        <v>1</v>
      </c>
      <c r="J17" s="536">
        <v>10</v>
      </c>
      <c r="K17" s="536">
        <v>4</v>
      </c>
      <c r="L17" s="538">
        <v>187</v>
      </c>
      <c r="M17" s="538">
        <v>195</v>
      </c>
      <c r="N17" s="576"/>
      <c r="O17" s="458" t="s">
        <v>1260</v>
      </c>
      <c r="P17" s="536">
        <v>0</v>
      </c>
      <c r="Q17" s="536" t="b">
        <v>0</v>
      </c>
      <c r="R17" s="536" t="s">
        <v>1258</v>
      </c>
      <c r="S17" s="536" t="s">
        <v>471</v>
      </c>
      <c r="T17" s="458">
        <v>172</v>
      </c>
      <c r="U17" s="534">
        <v>45435</v>
      </c>
      <c r="V17" s="534" t="s">
        <v>857</v>
      </c>
      <c r="W17" s="458" t="s">
        <v>781</v>
      </c>
      <c r="X17" s="534"/>
      <c r="Y17" s="534" t="b">
        <v>0</v>
      </c>
      <c r="Z17" s="536">
        <v>5606.4</v>
      </c>
      <c r="AA17" s="536">
        <v>7607.8661579101845</v>
      </c>
      <c r="AB17" s="536">
        <v>2001.47</v>
      </c>
      <c r="AC17" s="537">
        <v>0</v>
      </c>
      <c r="AD17" s="536">
        <v>0</v>
      </c>
      <c r="AE17" s="536"/>
      <c r="AF17" s="536">
        <v>0</v>
      </c>
      <c r="AG17" s="536">
        <v>0</v>
      </c>
      <c r="AH17" s="536"/>
      <c r="AI17" s="539"/>
      <c r="AJ17" s="536" t="s">
        <v>894</v>
      </c>
      <c r="AK17" s="536" t="b">
        <v>1</v>
      </c>
      <c r="AL17" s="536"/>
      <c r="AM17" s="536"/>
      <c r="AN17" s="536"/>
      <c r="AO17" s="536"/>
      <c r="AP17" s="115">
        <v>45435</v>
      </c>
      <c r="AR17" s="114"/>
      <c r="AS17" s="114"/>
      <c r="AT17" s="114"/>
    </row>
    <row r="18" spans="1:46">
      <c r="A18" s="458">
        <v>37</v>
      </c>
      <c r="B18" s="534">
        <v>45408</v>
      </c>
      <c r="C18" s="458" t="s">
        <v>387</v>
      </c>
      <c r="D18" s="458" t="s">
        <v>258</v>
      </c>
      <c r="E18" s="535">
        <v>0.85660000000000003</v>
      </c>
      <c r="F18" s="458">
        <v>75</v>
      </c>
      <c r="G18" s="458" t="s">
        <v>369</v>
      </c>
      <c r="H18" s="536" t="s">
        <v>914</v>
      </c>
      <c r="I18" s="537">
        <v>3</v>
      </c>
      <c r="J18" s="536">
        <v>10</v>
      </c>
      <c r="K18" s="536">
        <v>4</v>
      </c>
      <c r="L18" s="538">
        <v>548</v>
      </c>
      <c r="M18" s="538">
        <v>600</v>
      </c>
      <c r="N18" s="548" t="s">
        <v>1165</v>
      </c>
      <c r="O18" s="458"/>
      <c r="P18" s="536">
        <v>0</v>
      </c>
      <c r="Q18" s="536" t="b">
        <v>0</v>
      </c>
      <c r="R18" s="536" t="s">
        <v>1258</v>
      </c>
      <c r="S18" s="536" t="s">
        <v>471</v>
      </c>
      <c r="T18" s="458">
        <v>141</v>
      </c>
      <c r="U18" s="534">
        <v>45418</v>
      </c>
      <c r="V18" s="534" t="s">
        <v>857</v>
      </c>
      <c r="W18" s="458" t="s">
        <v>821</v>
      </c>
      <c r="X18" s="534"/>
      <c r="Y18" s="534" t="b">
        <v>0</v>
      </c>
      <c r="Z18" s="536">
        <v>8750</v>
      </c>
      <c r="AA18" s="536">
        <v>9193.33</v>
      </c>
      <c r="AB18" s="536">
        <v>443.33</v>
      </c>
      <c r="AC18" s="537">
        <v>0</v>
      </c>
      <c r="AD18" s="536">
        <v>0</v>
      </c>
      <c r="AE18" s="536"/>
      <c r="AF18" s="536">
        <v>0</v>
      </c>
      <c r="AG18" s="536">
        <v>0</v>
      </c>
      <c r="AH18" s="536"/>
      <c r="AI18" s="539"/>
      <c r="AJ18" s="536" t="s">
        <v>894</v>
      </c>
      <c r="AK18" s="536" t="b">
        <v>1</v>
      </c>
      <c r="AL18" s="536"/>
      <c r="AM18" s="536"/>
      <c r="AN18" s="536"/>
      <c r="AO18" s="536"/>
      <c r="AP18" s="115"/>
      <c r="AR18" s="114"/>
      <c r="AS18" s="114"/>
      <c r="AT18" s="114"/>
    </row>
    <row r="19" spans="1:46">
      <c r="A19" s="1">
        <v>25</v>
      </c>
      <c r="B19" s="115">
        <v>45390</v>
      </c>
      <c r="C19" s="1" t="s">
        <v>354</v>
      </c>
      <c r="D19" s="1" t="s">
        <v>258</v>
      </c>
      <c r="E19" s="400"/>
      <c r="F19" s="1">
        <v>59</v>
      </c>
      <c r="G19" s="1" t="s">
        <v>791</v>
      </c>
      <c r="H19" s="20" t="s">
        <v>759</v>
      </c>
      <c r="I19" s="197">
        <v>2</v>
      </c>
      <c r="J19" s="20">
        <v>10</v>
      </c>
      <c r="K19" s="20">
        <v>4</v>
      </c>
      <c r="L19" s="205">
        <v>553</v>
      </c>
      <c r="M19" s="205">
        <v>577</v>
      </c>
      <c r="N19" s="436"/>
      <c r="P19" s="20">
        <v>0</v>
      </c>
      <c r="Q19" s="20" t="b">
        <v>0</v>
      </c>
      <c r="R19" s="20" t="s">
        <v>1258</v>
      </c>
      <c r="S19" s="20" t="s">
        <v>471</v>
      </c>
      <c r="T19" s="1">
        <v>118</v>
      </c>
      <c r="U19" s="115">
        <v>45392</v>
      </c>
      <c r="V19" s="115" t="s">
        <v>857</v>
      </c>
      <c r="W19" s="1" t="s">
        <v>790</v>
      </c>
      <c r="X19" s="115"/>
      <c r="Y19" s="115" t="b">
        <v>0</v>
      </c>
      <c r="Z19" s="20">
        <v>16340.32</v>
      </c>
      <c r="AA19" s="20">
        <v>15300</v>
      </c>
      <c r="AB19" s="20">
        <v>-1040.32</v>
      </c>
      <c r="AC19" s="197">
        <v>0</v>
      </c>
      <c r="AD19" s="20">
        <v>0</v>
      </c>
      <c r="AE19" s="20"/>
      <c r="AF19" s="20">
        <v>0</v>
      </c>
      <c r="AG19" s="20">
        <v>0</v>
      </c>
      <c r="AJ19" s="20" t="s">
        <v>894</v>
      </c>
      <c r="AK19" s="20" t="b">
        <v>1</v>
      </c>
      <c r="AM19" s="20"/>
      <c r="AN19" s="20"/>
      <c r="AO19" s="20"/>
      <c r="AP19" s="115"/>
      <c r="AR19" s="114"/>
      <c r="AS19" s="114"/>
      <c r="AT19" s="114"/>
    </row>
    <row r="20" spans="1:46">
      <c r="A20" s="1">
        <v>24</v>
      </c>
      <c r="B20" s="115">
        <v>45390</v>
      </c>
      <c r="C20" s="1" t="s">
        <v>917</v>
      </c>
      <c r="D20" s="1" t="s">
        <v>258</v>
      </c>
      <c r="E20" s="400"/>
      <c r="F20" s="1">
        <v>150</v>
      </c>
      <c r="G20" s="1" t="s">
        <v>921</v>
      </c>
      <c r="H20" s="20" t="s">
        <v>759</v>
      </c>
      <c r="I20" s="197">
        <v>13</v>
      </c>
      <c r="J20" s="20">
        <v>10</v>
      </c>
      <c r="K20" s="20">
        <v>4</v>
      </c>
      <c r="L20" s="205">
        <v>2190</v>
      </c>
      <c r="M20" s="205">
        <v>3075</v>
      </c>
      <c r="N20" s="436"/>
      <c r="O20" s="1" t="s">
        <v>934</v>
      </c>
      <c r="P20" s="20">
        <v>1280</v>
      </c>
      <c r="Q20" s="20" t="b">
        <v>1</v>
      </c>
      <c r="R20" s="20" t="s">
        <v>1258</v>
      </c>
      <c r="S20" s="20" t="s">
        <v>471</v>
      </c>
      <c r="T20" s="1">
        <v>113</v>
      </c>
      <c r="U20" s="115">
        <v>45386</v>
      </c>
      <c r="V20" s="115" t="s">
        <v>857</v>
      </c>
      <c r="W20" s="1" t="s">
        <v>378</v>
      </c>
      <c r="X20" s="115"/>
      <c r="Y20" s="115" t="b">
        <v>1</v>
      </c>
      <c r="Z20" s="20">
        <v>45000</v>
      </c>
      <c r="AA20" s="20">
        <v>67500</v>
      </c>
      <c r="AB20" s="20">
        <v>22500</v>
      </c>
      <c r="AC20" s="197">
        <v>0</v>
      </c>
      <c r="AD20" s="20">
        <v>0</v>
      </c>
      <c r="AE20" s="20"/>
      <c r="AF20" s="20">
        <v>0</v>
      </c>
      <c r="AG20" s="20">
        <v>0</v>
      </c>
      <c r="AI20" s="423" t="s">
        <v>1254</v>
      </c>
      <c r="AJ20" s="20" t="s">
        <v>894</v>
      </c>
      <c r="AK20" s="20" t="b">
        <v>1</v>
      </c>
      <c r="AM20" s="20"/>
      <c r="AN20" s="20"/>
      <c r="AO20" s="20"/>
      <c r="AP20" s="533">
        <v>0</v>
      </c>
      <c r="AR20" s="114"/>
      <c r="AS20" s="114"/>
      <c r="AT20" s="114"/>
    </row>
    <row r="21" spans="1:46">
      <c r="A21" s="1">
        <v>17</v>
      </c>
      <c r="B21" s="115">
        <v>45364</v>
      </c>
      <c r="C21" s="1" t="s">
        <v>949</v>
      </c>
      <c r="D21" s="1"/>
      <c r="E21" s="400"/>
      <c r="F21" s="1">
        <v>554</v>
      </c>
      <c r="G21" s="1"/>
      <c r="H21" s="20" t="s">
        <v>914</v>
      </c>
      <c r="I21" s="197">
        <v>8</v>
      </c>
      <c r="J21" s="20">
        <v>10</v>
      </c>
      <c r="K21" s="20">
        <v>4</v>
      </c>
      <c r="L21" s="205">
        <v>3986</v>
      </c>
      <c r="M21" s="205">
        <v>4374</v>
      </c>
      <c r="N21" s="436" t="s">
        <v>997</v>
      </c>
      <c r="P21" s="20">
        <v>0</v>
      </c>
      <c r="Q21" s="20" t="b">
        <v>0</v>
      </c>
      <c r="R21" s="20" t="s">
        <v>1258</v>
      </c>
      <c r="S21" s="20" t="s">
        <v>471</v>
      </c>
      <c r="T21" s="1">
        <v>111</v>
      </c>
      <c r="U21" s="115">
        <v>45386</v>
      </c>
      <c r="V21" s="115" t="s">
        <v>857</v>
      </c>
      <c r="X21" s="115"/>
      <c r="Y21" s="115" t="b">
        <v>0</v>
      </c>
      <c r="Z21" s="20">
        <v>66480</v>
      </c>
      <c r="AA21" s="20">
        <v>72576</v>
      </c>
      <c r="AB21" s="20">
        <v>6096</v>
      </c>
      <c r="AC21" s="197">
        <v>0</v>
      </c>
      <c r="AD21" s="20">
        <v>0</v>
      </c>
      <c r="AE21" s="20"/>
      <c r="AF21" s="20">
        <v>0</v>
      </c>
      <c r="AG21" s="20">
        <v>0</v>
      </c>
      <c r="AJ21" s="20" t="s">
        <v>858</v>
      </c>
      <c r="AK21" s="20" t="b">
        <v>1</v>
      </c>
      <c r="AM21" s="20"/>
      <c r="AN21" s="20"/>
      <c r="AO21" s="20"/>
      <c r="AP21" s="115"/>
      <c r="AR21" s="114"/>
      <c r="AS21" s="114"/>
      <c r="AT21" s="114"/>
    </row>
    <row r="22" spans="1:46">
      <c r="A22" s="1">
        <v>27</v>
      </c>
      <c r="B22" s="115">
        <v>45379</v>
      </c>
      <c r="C22" s="1" t="s">
        <v>247</v>
      </c>
      <c r="D22" s="1" t="s">
        <v>258</v>
      </c>
      <c r="E22" s="400"/>
      <c r="F22" s="1">
        <v>7616</v>
      </c>
      <c r="G22" s="1" t="s">
        <v>257</v>
      </c>
      <c r="H22" s="20" t="s">
        <v>759</v>
      </c>
      <c r="I22" s="197">
        <v>14</v>
      </c>
      <c r="J22" s="20">
        <v>10</v>
      </c>
      <c r="K22" s="20">
        <v>4</v>
      </c>
      <c r="L22" s="205">
        <v>0</v>
      </c>
      <c r="M22" s="205">
        <v>0</v>
      </c>
      <c r="N22" s="436" t="s">
        <v>1118</v>
      </c>
      <c r="P22" s="20">
        <v>0</v>
      </c>
      <c r="Q22" s="20" t="b">
        <v>0</v>
      </c>
      <c r="R22" s="20" t="s">
        <v>1258</v>
      </c>
      <c r="S22" s="20" t="s">
        <v>471</v>
      </c>
      <c r="T22" s="1">
        <v>100</v>
      </c>
      <c r="U22" s="115">
        <v>45379</v>
      </c>
      <c r="V22" s="115" t="s">
        <v>857</v>
      </c>
      <c r="W22" s="1" t="s">
        <v>256</v>
      </c>
      <c r="X22" s="115"/>
      <c r="Y22" s="115" t="b">
        <v>1</v>
      </c>
      <c r="Z22" s="20">
        <v>84994.559999999998</v>
      </c>
      <c r="AA22" s="20">
        <v>91392</v>
      </c>
      <c r="AB22" s="20">
        <v>6397.44</v>
      </c>
      <c r="AC22" s="197">
        <v>0</v>
      </c>
      <c r="AD22" s="20">
        <v>0</v>
      </c>
      <c r="AE22" s="20"/>
      <c r="AF22" s="20">
        <v>0</v>
      </c>
      <c r="AG22" s="20">
        <v>0</v>
      </c>
      <c r="AJ22" s="20" t="s">
        <v>894</v>
      </c>
      <c r="AK22" s="20" t="b">
        <v>1</v>
      </c>
      <c r="AM22" s="20"/>
      <c r="AN22" s="20"/>
      <c r="AO22" s="20"/>
      <c r="AP22" s="115"/>
      <c r="AR22" s="114"/>
      <c r="AS22" s="114"/>
      <c r="AT22" s="114"/>
    </row>
    <row r="23" spans="1:46">
      <c r="A23" s="1">
        <v>26</v>
      </c>
      <c r="B23" s="115">
        <v>45373</v>
      </c>
      <c r="C23" s="1" t="s">
        <v>247</v>
      </c>
      <c r="D23" s="1" t="s">
        <v>258</v>
      </c>
      <c r="E23" s="400"/>
      <c r="F23" s="1">
        <v>944</v>
      </c>
      <c r="G23" s="1" t="s">
        <v>257</v>
      </c>
      <c r="H23" s="20" t="s">
        <v>759</v>
      </c>
      <c r="I23" s="197">
        <v>17</v>
      </c>
      <c r="J23" s="20">
        <v>10</v>
      </c>
      <c r="K23" s="20">
        <v>4</v>
      </c>
      <c r="L23" s="205">
        <v>6966</v>
      </c>
      <c r="M23" s="205">
        <v>7216</v>
      </c>
      <c r="N23" s="436" t="s">
        <v>1118</v>
      </c>
      <c r="P23" s="20">
        <v>0</v>
      </c>
      <c r="Q23" s="20" t="b">
        <v>0</v>
      </c>
      <c r="R23" s="20" t="s">
        <v>1258</v>
      </c>
      <c r="S23" s="20" t="s">
        <v>471</v>
      </c>
      <c r="T23" s="1">
        <v>98</v>
      </c>
      <c r="U23" s="115">
        <v>45373</v>
      </c>
      <c r="V23" s="115" t="s">
        <v>857</v>
      </c>
      <c r="W23" s="1" t="s">
        <v>256</v>
      </c>
      <c r="X23" s="115"/>
      <c r="Y23" s="115" t="b">
        <v>1</v>
      </c>
      <c r="Z23" s="20">
        <v>51240.959999999999</v>
      </c>
      <c r="AA23" s="20">
        <v>47915.519999999997</v>
      </c>
      <c r="AB23" s="20">
        <v>-3325.44</v>
      </c>
      <c r="AC23" s="197">
        <v>0</v>
      </c>
      <c r="AD23" s="20">
        <v>0</v>
      </c>
      <c r="AE23" s="20"/>
      <c r="AF23" s="20">
        <v>0</v>
      </c>
      <c r="AG23" s="20">
        <v>0</v>
      </c>
      <c r="AJ23" s="20" t="s">
        <v>894</v>
      </c>
      <c r="AK23" s="20" t="b">
        <v>1</v>
      </c>
      <c r="AM23" s="20"/>
      <c r="AN23" s="20"/>
      <c r="AO23" s="20"/>
      <c r="AP23" s="115"/>
      <c r="AR23" s="114"/>
      <c r="AS23" s="114"/>
      <c r="AT23" s="114"/>
    </row>
    <row r="24" spans="1:46">
      <c r="A24" s="1">
        <v>11</v>
      </c>
      <c r="B24" s="115">
        <v>45352</v>
      </c>
      <c r="C24" s="1" t="s">
        <v>247</v>
      </c>
      <c r="D24" s="1" t="s">
        <v>258</v>
      </c>
      <c r="E24" s="400"/>
      <c r="F24" s="1">
        <v>144</v>
      </c>
      <c r="G24" s="1"/>
      <c r="H24" s="20" t="s">
        <v>914</v>
      </c>
      <c r="I24" s="197">
        <v>2</v>
      </c>
      <c r="J24" s="20">
        <v>10</v>
      </c>
      <c r="K24" s="20">
        <v>4</v>
      </c>
      <c r="L24" s="205">
        <v>902</v>
      </c>
      <c r="M24" s="205">
        <v>1010</v>
      </c>
      <c r="N24" s="436"/>
      <c r="O24" s="1" t="s">
        <v>934</v>
      </c>
      <c r="P24" s="20">
        <v>620</v>
      </c>
      <c r="Q24" s="20" t="b">
        <v>0</v>
      </c>
      <c r="R24" s="20" t="s">
        <v>1258</v>
      </c>
      <c r="S24" s="20" t="s">
        <v>471</v>
      </c>
      <c r="T24" s="1">
        <v>90</v>
      </c>
      <c r="U24" s="115">
        <v>45364</v>
      </c>
      <c r="V24" s="115" t="s">
        <v>857</v>
      </c>
      <c r="X24" s="115"/>
      <c r="Y24" s="115" t="b">
        <v>1</v>
      </c>
      <c r="Z24" s="20">
        <v>5620.61</v>
      </c>
      <c r="AA24" s="20">
        <v>7094.64</v>
      </c>
      <c r="AB24" s="20">
        <v>1474.03</v>
      </c>
      <c r="AC24" s="197">
        <v>0</v>
      </c>
      <c r="AD24" s="20">
        <v>0</v>
      </c>
      <c r="AE24" s="20"/>
      <c r="AF24" s="20">
        <v>0</v>
      </c>
      <c r="AG24" s="20">
        <v>0</v>
      </c>
      <c r="AJ24" s="20" t="s">
        <v>894</v>
      </c>
      <c r="AK24" s="20" t="b">
        <v>1</v>
      </c>
      <c r="AM24" s="20"/>
      <c r="AN24" s="20"/>
      <c r="AO24" s="20"/>
      <c r="AP24" s="115"/>
      <c r="AR24" s="114"/>
      <c r="AS24" s="114"/>
      <c r="AT24" s="114"/>
    </row>
    <row r="25" spans="1:46">
      <c r="A25" s="1">
        <v>12</v>
      </c>
      <c r="B25" s="115">
        <v>45355</v>
      </c>
      <c r="C25" s="1" t="s">
        <v>354</v>
      </c>
      <c r="D25" s="1" t="s">
        <v>258</v>
      </c>
      <c r="E25" s="400"/>
      <c r="F25" s="1">
        <v>86</v>
      </c>
      <c r="G25" s="1" t="s">
        <v>791</v>
      </c>
      <c r="H25" s="20" t="s">
        <v>759</v>
      </c>
      <c r="I25" s="197">
        <v>2</v>
      </c>
      <c r="J25" s="20">
        <v>10</v>
      </c>
      <c r="K25" s="20">
        <v>4</v>
      </c>
      <c r="L25" s="205">
        <v>806</v>
      </c>
      <c r="M25" s="205">
        <v>842</v>
      </c>
      <c r="N25" s="436"/>
      <c r="O25" s="1" t="s">
        <v>934</v>
      </c>
      <c r="P25" s="20">
        <v>480</v>
      </c>
      <c r="Q25" s="20" t="b">
        <v>1</v>
      </c>
      <c r="R25" s="20" t="s">
        <v>1258</v>
      </c>
      <c r="S25" s="20" t="s">
        <v>471</v>
      </c>
      <c r="T25" s="1">
        <v>74</v>
      </c>
      <c r="U25" s="115">
        <v>45359</v>
      </c>
      <c r="V25" s="115" t="s">
        <v>857</v>
      </c>
      <c r="W25" s="1" t="s">
        <v>790</v>
      </c>
      <c r="X25" s="115"/>
      <c r="Y25" s="115" t="b">
        <v>1</v>
      </c>
      <c r="Z25" s="20">
        <v>23758.07</v>
      </c>
      <c r="AA25" s="20">
        <v>22200</v>
      </c>
      <c r="AB25" s="20">
        <v>-1558.07</v>
      </c>
      <c r="AC25" s="197">
        <v>0</v>
      </c>
      <c r="AD25" s="20">
        <v>0</v>
      </c>
      <c r="AE25" s="20"/>
      <c r="AF25" s="20">
        <v>0</v>
      </c>
      <c r="AG25" s="20">
        <v>0</v>
      </c>
      <c r="AI25" s="423" t="s">
        <v>1253</v>
      </c>
      <c r="AJ25" s="20" t="s">
        <v>894</v>
      </c>
      <c r="AK25" s="20" t="b">
        <v>1</v>
      </c>
      <c r="AM25" s="20"/>
      <c r="AN25" s="20"/>
      <c r="AO25" s="20"/>
      <c r="AP25" s="533">
        <v>0</v>
      </c>
      <c r="AR25" s="114"/>
      <c r="AS25" s="114"/>
      <c r="AT25" s="114"/>
    </row>
    <row r="26" spans="1:46">
      <c r="A26" s="1">
        <v>10</v>
      </c>
      <c r="B26" s="115">
        <v>45299</v>
      </c>
      <c r="C26" s="1" t="s">
        <v>388</v>
      </c>
      <c r="D26" s="1" t="s">
        <v>258</v>
      </c>
      <c r="E26" s="400"/>
      <c r="F26" s="1">
        <v>77</v>
      </c>
      <c r="G26" s="1" t="s">
        <v>369</v>
      </c>
      <c r="H26" s="20" t="s">
        <v>759</v>
      </c>
      <c r="I26" s="197">
        <v>3</v>
      </c>
      <c r="J26" s="20">
        <v>10</v>
      </c>
      <c r="K26" s="20">
        <v>4</v>
      </c>
      <c r="L26" s="205">
        <v>438</v>
      </c>
      <c r="M26" s="205">
        <v>491</v>
      </c>
      <c r="N26" s="436"/>
      <c r="P26" s="20">
        <v>0</v>
      </c>
      <c r="Q26" s="20" t="b">
        <v>0</v>
      </c>
      <c r="R26" s="20" t="s">
        <v>1258</v>
      </c>
      <c r="S26" s="20" t="s">
        <v>471</v>
      </c>
      <c r="T26" s="1">
        <v>56</v>
      </c>
      <c r="U26" s="115">
        <v>45349</v>
      </c>
      <c r="V26" s="115" t="s">
        <v>857</v>
      </c>
      <c r="W26" s="1" t="s">
        <v>256</v>
      </c>
      <c r="X26" s="115"/>
      <c r="Y26" s="115" t="b">
        <v>1</v>
      </c>
      <c r="Z26" s="20">
        <v>1635</v>
      </c>
      <c r="AA26" s="20">
        <v>5252.8</v>
      </c>
      <c r="AB26" s="20">
        <v>3617.8</v>
      </c>
      <c r="AC26" s="197">
        <v>20</v>
      </c>
      <c r="AD26" s="20">
        <v>23</v>
      </c>
      <c r="AE26" s="20"/>
      <c r="AF26" s="20">
        <v>0</v>
      </c>
      <c r="AG26" s="20">
        <v>0</v>
      </c>
      <c r="AJ26" s="20" t="s">
        <v>894</v>
      </c>
      <c r="AK26" s="20" t="b">
        <v>1</v>
      </c>
      <c r="AM26" s="20"/>
      <c r="AN26" s="20"/>
      <c r="AO26" s="20"/>
      <c r="AP26" s="115"/>
      <c r="AR26" s="114"/>
      <c r="AS26" s="114"/>
      <c r="AT26" s="114"/>
    </row>
    <row r="27" spans="1:46">
      <c r="A27" s="1">
        <v>9</v>
      </c>
      <c r="B27" s="115">
        <v>45328</v>
      </c>
      <c r="C27" s="1" t="s">
        <v>795</v>
      </c>
      <c r="D27" s="1" t="s">
        <v>258</v>
      </c>
      <c r="E27" s="400"/>
      <c r="F27" s="1">
        <v>200</v>
      </c>
      <c r="G27" s="1" t="s">
        <v>369</v>
      </c>
      <c r="H27" s="20" t="s">
        <v>914</v>
      </c>
      <c r="I27" s="197">
        <v>4</v>
      </c>
      <c r="J27" s="20">
        <v>10</v>
      </c>
      <c r="K27" s="20">
        <v>4</v>
      </c>
      <c r="L27" s="205">
        <v>1198</v>
      </c>
      <c r="M27" s="205">
        <v>1314</v>
      </c>
      <c r="N27" s="436"/>
      <c r="P27" s="20">
        <v>0</v>
      </c>
      <c r="Q27" s="20" t="b">
        <v>0</v>
      </c>
      <c r="R27" s="20" t="s">
        <v>1258</v>
      </c>
      <c r="S27" s="20" t="s">
        <v>471</v>
      </c>
      <c r="T27" s="1">
        <v>55</v>
      </c>
      <c r="U27" s="115">
        <v>45349</v>
      </c>
      <c r="V27" s="115" t="s">
        <v>857</v>
      </c>
      <c r="W27" s="1" t="s">
        <v>256</v>
      </c>
      <c r="X27" s="115"/>
      <c r="Y27" s="115" t="b">
        <v>1</v>
      </c>
      <c r="Z27" s="20">
        <v>19516.560000000001</v>
      </c>
      <c r="AA27" s="20">
        <v>28778.48</v>
      </c>
      <c r="AB27" s="20">
        <v>9261.92</v>
      </c>
      <c r="AC27" s="197">
        <v>0</v>
      </c>
      <c r="AD27" s="20">
        <v>0</v>
      </c>
      <c r="AE27" s="20"/>
      <c r="AF27" s="20">
        <v>0</v>
      </c>
      <c r="AG27" s="20">
        <v>0</v>
      </c>
      <c r="AJ27" s="20" t="s">
        <v>894</v>
      </c>
      <c r="AK27" s="20" t="b">
        <v>1</v>
      </c>
      <c r="AM27" s="20"/>
      <c r="AN27" s="20"/>
      <c r="AO27" s="20"/>
      <c r="AP27" s="115"/>
      <c r="AR27" s="114"/>
      <c r="AS27" s="114"/>
      <c r="AT27" s="114"/>
    </row>
    <row r="28" spans="1:46">
      <c r="A28" s="1">
        <v>8</v>
      </c>
      <c r="B28" s="115">
        <v>45344</v>
      </c>
      <c r="C28" s="1" t="s">
        <v>344</v>
      </c>
      <c r="D28" s="1" t="s">
        <v>258</v>
      </c>
      <c r="E28" s="400"/>
      <c r="F28" s="1">
        <v>24</v>
      </c>
      <c r="G28" s="1" t="s">
        <v>369</v>
      </c>
      <c r="H28" s="20" t="s">
        <v>914</v>
      </c>
      <c r="I28" s="197">
        <v>1</v>
      </c>
      <c r="J28" s="20">
        <v>10</v>
      </c>
      <c r="K28" s="20">
        <v>4</v>
      </c>
      <c r="L28" s="205">
        <v>159</v>
      </c>
      <c r="M28" s="205">
        <v>174</v>
      </c>
      <c r="N28" s="436"/>
      <c r="P28" s="20">
        <v>0</v>
      </c>
      <c r="Q28" s="20" t="b">
        <v>0</v>
      </c>
      <c r="R28" s="20" t="s">
        <v>1258</v>
      </c>
      <c r="S28" s="20" t="s">
        <v>471</v>
      </c>
      <c r="T28" s="1">
        <v>50</v>
      </c>
      <c r="U28" s="115">
        <v>45344</v>
      </c>
      <c r="V28" s="115" t="s">
        <v>857</v>
      </c>
      <c r="W28" s="1" t="s">
        <v>256</v>
      </c>
      <c r="X28" s="115"/>
      <c r="Y28" s="115" t="b">
        <v>1</v>
      </c>
      <c r="Z28" s="20">
        <v>3074.88</v>
      </c>
      <c r="AA28" s="20">
        <v>3495.96</v>
      </c>
      <c r="AB28" s="20">
        <v>421.08</v>
      </c>
      <c r="AC28" s="197">
        <v>0</v>
      </c>
      <c r="AD28" s="20">
        <v>0</v>
      </c>
      <c r="AE28" s="20"/>
      <c r="AF28" s="20">
        <v>0</v>
      </c>
      <c r="AG28" s="20">
        <v>0</v>
      </c>
      <c r="AJ28" s="20" t="s">
        <v>894</v>
      </c>
      <c r="AK28" s="20" t="b">
        <v>1</v>
      </c>
      <c r="AM28" s="20"/>
      <c r="AN28" s="20"/>
      <c r="AO28" s="20"/>
      <c r="AP28" s="115"/>
      <c r="AR28" s="114"/>
      <c r="AS28" s="114"/>
      <c r="AT28" s="114"/>
    </row>
    <row r="29" spans="1:46">
      <c r="A29" s="1">
        <v>7</v>
      </c>
      <c r="B29" s="115">
        <v>45343</v>
      </c>
      <c r="C29" s="1" t="s">
        <v>922</v>
      </c>
      <c r="D29" s="1" t="s">
        <v>258</v>
      </c>
      <c r="E29" s="400"/>
      <c r="F29" s="1">
        <v>79</v>
      </c>
      <c r="G29" s="1" t="s">
        <v>379</v>
      </c>
      <c r="H29" s="20" t="s">
        <v>759</v>
      </c>
      <c r="I29" s="197">
        <v>2</v>
      </c>
      <c r="J29" s="20">
        <v>10</v>
      </c>
      <c r="K29" s="20">
        <v>4</v>
      </c>
      <c r="L29" s="205">
        <v>687</v>
      </c>
      <c r="M29" s="205">
        <v>717</v>
      </c>
      <c r="N29" s="436"/>
      <c r="O29" s="1" t="s">
        <v>1271</v>
      </c>
      <c r="P29" s="20">
        <v>480</v>
      </c>
      <c r="Q29" s="20" t="b">
        <v>1</v>
      </c>
      <c r="R29" s="20" t="s">
        <v>1258</v>
      </c>
      <c r="S29" s="20" t="s">
        <v>471</v>
      </c>
      <c r="T29" s="1">
        <v>49</v>
      </c>
      <c r="U29" s="115">
        <v>45343</v>
      </c>
      <c r="V29" s="115" t="s">
        <v>857</v>
      </c>
      <c r="W29" s="1" t="s">
        <v>378</v>
      </c>
      <c r="X29" s="115"/>
      <c r="Y29" s="115" t="b">
        <v>1</v>
      </c>
      <c r="Z29" s="20">
        <v>20358.240000000002</v>
      </c>
      <c r="AA29" s="20">
        <v>13787.5</v>
      </c>
      <c r="AB29" s="20">
        <v>-6570.74</v>
      </c>
      <c r="AC29" s="197">
        <v>0</v>
      </c>
      <c r="AD29" s="20">
        <v>0</v>
      </c>
      <c r="AE29" s="20"/>
      <c r="AF29" s="20">
        <v>0</v>
      </c>
      <c r="AG29" s="20">
        <v>0</v>
      </c>
      <c r="AH29" s="20" t="s">
        <v>1092</v>
      </c>
      <c r="AI29" s="423" t="s">
        <v>1254</v>
      </c>
      <c r="AJ29" s="20" t="s">
        <v>894</v>
      </c>
      <c r="AK29" s="20" t="b">
        <v>1</v>
      </c>
      <c r="AM29" s="20"/>
      <c r="AN29" s="20"/>
      <c r="AO29" s="20"/>
      <c r="AP29" s="533">
        <v>0</v>
      </c>
    </row>
    <row r="30" spans="1:46">
      <c r="A30" s="1">
        <v>6</v>
      </c>
      <c r="B30" s="115">
        <v>45342</v>
      </c>
      <c r="C30" s="1" t="s">
        <v>387</v>
      </c>
      <c r="D30" s="1" t="s">
        <v>782</v>
      </c>
      <c r="E30" s="400">
        <v>0.85660000000000003</v>
      </c>
      <c r="F30" s="1">
        <v>110</v>
      </c>
      <c r="G30" s="1" t="s">
        <v>369</v>
      </c>
      <c r="H30" s="20" t="s">
        <v>914</v>
      </c>
      <c r="I30" s="197">
        <v>2</v>
      </c>
      <c r="J30" s="20">
        <v>10</v>
      </c>
      <c r="K30" s="20">
        <v>4</v>
      </c>
      <c r="L30" s="205">
        <v>756</v>
      </c>
      <c r="M30" s="205">
        <v>832</v>
      </c>
      <c r="N30" s="436"/>
      <c r="P30" s="20">
        <v>0</v>
      </c>
      <c r="Q30" s="20" t="b">
        <v>0</v>
      </c>
      <c r="R30" s="20" t="s">
        <v>1258</v>
      </c>
      <c r="S30" s="20" t="s">
        <v>471</v>
      </c>
      <c r="T30" s="1">
        <v>46</v>
      </c>
      <c r="U30" s="115">
        <v>45342</v>
      </c>
      <c r="V30" s="115" t="s">
        <v>857</v>
      </c>
      <c r="W30" s="1" t="s">
        <v>821</v>
      </c>
      <c r="X30" s="115"/>
      <c r="Y30" s="115" t="b">
        <v>1</v>
      </c>
      <c r="Z30" s="20">
        <v>13200</v>
      </c>
      <c r="AA30" s="20">
        <v>13868.783562923185</v>
      </c>
      <c r="AB30" s="20">
        <v>668.78</v>
      </c>
      <c r="AC30" s="197">
        <v>0</v>
      </c>
      <c r="AD30" s="20">
        <v>0</v>
      </c>
      <c r="AE30" s="20"/>
      <c r="AF30" s="20">
        <v>0</v>
      </c>
      <c r="AG30" s="20">
        <v>0</v>
      </c>
      <c r="AJ30" s="20" t="s">
        <v>894</v>
      </c>
      <c r="AK30" s="20" t="b">
        <v>1</v>
      </c>
      <c r="AM30" s="20"/>
      <c r="AN30" s="20"/>
      <c r="AO30" s="20"/>
      <c r="AP30" s="115"/>
    </row>
    <row r="31" spans="1:46">
      <c r="A31" s="1">
        <v>5</v>
      </c>
      <c r="B31" s="115">
        <v>45335</v>
      </c>
      <c r="C31" s="1" t="s">
        <v>917</v>
      </c>
      <c r="D31" s="1" t="s">
        <v>258</v>
      </c>
      <c r="E31" s="400"/>
      <c r="F31" s="1">
        <v>302</v>
      </c>
      <c r="G31" s="1" t="s">
        <v>379</v>
      </c>
      <c r="H31" s="20" t="s">
        <v>759</v>
      </c>
      <c r="I31" s="197">
        <v>8</v>
      </c>
      <c r="J31" s="20">
        <v>10</v>
      </c>
      <c r="K31" s="20">
        <v>4</v>
      </c>
      <c r="L31" s="205">
        <v>2863</v>
      </c>
      <c r="M31" s="205">
        <v>2990</v>
      </c>
      <c r="N31" s="436"/>
      <c r="O31" s="1" t="s">
        <v>934</v>
      </c>
      <c r="P31" s="20">
        <v>1120</v>
      </c>
      <c r="Q31" s="20" t="b">
        <v>1</v>
      </c>
      <c r="R31" s="20" t="s">
        <v>1258</v>
      </c>
      <c r="S31" s="20" t="s">
        <v>471</v>
      </c>
      <c r="T31" s="1">
        <v>41</v>
      </c>
      <c r="U31" s="115">
        <v>45335</v>
      </c>
      <c r="V31" s="115" t="s">
        <v>857</v>
      </c>
      <c r="W31" s="1" t="s">
        <v>378</v>
      </c>
      <c r="X31" s="115"/>
      <c r="Y31" s="115" t="b">
        <v>1</v>
      </c>
      <c r="Z31" s="20">
        <v>84656.639999999999</v>
      </c>
      <c r="AA31" s="20">
        <v>79200</v>
      </c>
      <c r="AB31" s="20">
        <v>-5456.64</v>
      </c>
      <c r="AC31" s="197">
        <v>32</v>
      </c>
      <c r="AD31" s="20">
        <v>22</v>
      </c>
      <c r="AE31" s="20"/>
      <c r="AF31" s="20">
        <v>0</v>
      </c>
      <c r="AG31" s="20">
        <v>0</v>
      </c>
      <c r="AJ31" s="20" t="s">
        <v>894</v>
      </c>
      <c r="AK31" s="20" t="b">
        <v>1</v>
      </c>
      <c r="AM31" s="20"/>
      <c r="AN31" s="20"/>
      <c r="AO31" s="20"/>
      <c r="AP31" s="115"/>
    </row>
    <row r="32" spans="1:46">
      <c r="A32" s="1">
        <v>4</v>
      </c>
      <c r="B32" s="115">
        <v>45300</v>
      </c>
      <c r="C32" s="1" t="s">
        <v>354</v>
      </c>
      <c r="D32" s="1" t="s">
        <v>258</v>
      </c>
      <c r="E32" s="400"/>
      <c r="F32" s="1">
        <v>125</v>
      </c>
      <c r="G32" s="1" t="s">
        <v>791</v>
      </c>
      <c r="H32" s="20" t="s">
        <v>759</v>
      </c>
      <c r="I32" s="197">
        <v>7</v>
      </c>
      <c r="J32" s="20">
        <v>10</v>
      </c>
      <c r="K32" s="20">
        <v>4</v>
      </c>
      <c r="L32" s="205">
        <v>2190</v>
      </c>
      <c r="M32" s="205">
        <v>3075</v>
      </c>
      <c r="N32" s="436"/>
      <c r="O32" s="1" t="s">
        <v>934</v>
      </c>
      <c r="P32" s="20">
        <v>1060</v>
      </c>
      <c r="Q32" s="20" t="b">
        <v>1</v>
      </c>
      <c r="R32" s="20" t="s">
        <v>1258</v>
      </c>
      <c r="S32" s="20" t="s">
        <v>471</v>
      </c>
      <c r="T32" s="1">
        <v>6</v>
      </c>
      <c r="U32" s="115">
        <v>45300</v>
      </c>
      <c r="V32" s="115" t="s">
        <v>857</v>
      </c>
      <c r="W32" s="1" t="s">
        <v>790</v>
      </c>
      <c r="X32" s="115"/>
      <c r="Y32" s="115" t="b">
        <v>1</v>
      </c>
      <c r="Z32" s="20">
        <v>45000</v>
      </c>
      <c r="AA32" s="20">
        <v>51000</v>
      </c>
      <c r="AB32" s="20">
        <v>6000</v>
      </c>
      <c r="AC32" s="197">
        <v>80</v>
      </c>
      <c r="AD32" s="20">
        <v>22</v>
      </c>
      <c r="AE32" s="20"/>
      <c r="AF32" s="20">
        <v>0</v>
      </c>
      <c r="AG32" s="20">
        <v>0</v>
      </c>
      <c r="AJ32" s="20" t="s">
        <v>894</v>
      </c>
      <c r="AK32" s="20" t="b">
        <v>1</v>
      </c>
      <c r="AM32" s="20"/>
      <c r="AN32" s="20"/>
      <c r="AO32" s="20"/>
      <c r="AP32" s="115"/>
    </row>
    <row r="33" spans="1:42">
      <c r="A33" s="1">
        <v>3</v>
      </c>
      <c r="B33" s="115">
        <v>45300</v>
      </c>
      <c r="C33" s="1" t="s">
        <v>375</v>
      </c>
      <c r="D33" s="1" t="s">
        <v>258</v>
      </c>
      <c r="E33" s="400"/>
      <c r="F33" s="1">
        <v>180</v>
      </c>
      <c r="G33" s="1" t="s">
        <v>369</v>
      </c>
      <c r="H33" s="20" t="s">
        <v>914</v>
      </c>
      <c r="I33" s="197">
        <v>3</v>
      </c>
      <c r="J33" s="20">
        <v>10</v>
      </c>
      <c r="K33" s="20">
        <v>4</v>
      </c>
      <c r="L33" s="205">
        <v>1674</v>
      </c>
      <c r="M33" s="205">
        <v>1746</v>
      </c>
      <c r="N33" s="436"/>
      <c r="P33" s="20">
        <v>0</v>
      </c>
      <c r="Q33" s="20" t="b">
        <v>0</v>
      </c>
      <c r="R33" s="20" t="s">
        <v>1258</v>
      </c>
      <c r="S33" s="20" t="s">
        <v>471</v>
      </c>
      <c r="T33" s="1">
        <v>5</v>
      </c>
      <c r="U33" s="115">
        <v>45300</v>
      </c>
      <c r="V33" s="115" t="s">
        <v>857</v>
      </c>
      <c r="W33" s="1" t="s">
        <v>256</v>
      </c>
      <c r="X33" s="115"/>
      <c r="Y33" s="115" t="b">
        <v>1</v>
      </c>
      <c r="Z33" s="20">
        <v>50457.599999999999</v>
      </c>
      <c r="AA33" s="20">
        <v>53721.599999999999</v>
      </c>
      <c r="AB33" s="20">
        <v>3264</v>
      </c>
      <c r="AC33" s="197">
        <v>0</v>
      </c>
      <c r="AD33" s="20">
        <v>0</v>
      </c>
      <c r="AE33" s="20"/>
      <c r="AF33" s="20">
        <v>0</v>
      </c>
      <c r="AG33" s="20">
        <v>0</v>
      </c>
      <c r="AJ33" s="20" t="s">
        <v>894</v>
      </c>
      <c r="AK33" s="20" t="b">
        <v>1</v>
      </c>
      <c r="AM33" s="20"/>
      <c r="AN33" s="20"/>
      <c r="AO33" s="20"/>
      <c r="AP33" s="115"/>
    </row>
    <row r="34" spans="1:42">
      <c r="A34" s="1">
        <v>2</v>
      </c>
      <c r="B34" s="115">
        <v>45299</v>
      </c>
      <c r="C34" s="1" t="s">
        <v>247</v>
      </c>
      <c r="D34" s="1" t="s">
        <v>258</v>
      </c>
      <c r="E34" s="400"/>
      <c r="F34" s="1">
        <v>280</v>
      </c>
      <c r="G34" s="1" t="s">
        <v>257</v>
      </c>
      <c r="H34" s="20" t="s">
        <v>759</v>
      </c>
      <c r="I34" s="197">
        <v>4</v>
      </c>
      <c r="J34" s="20">
        <v>10</v>
      </c>
      <c r="K34" s="20">
        <v>4</v>
      </c>
      <c r="L34" s="205">
        <v>2542</v>
      </c>
      <c r="M34" s="205">
        <v>2651</v>
      </c>
      <c r="N34" s="436"/>
      <c r="P34" s="20">
        <v>0</v>
      </c>
      <c r="Q34" s="20" t="b">
        <v>0</v>
      </c>
      <c r="R34" s="20" t="s">
        <v>1258</v>
      </c>
      <c r="S34" s="20" t="s">
        <v>471</v>
      </c>
      <c r="T34" s="1">
        <v>3</v>
      </c>
      <c r="U34" s="115">
        <v>45299</v>
      </c>
      <c r="V34" s="115" t="s">
        <v>857</v>
      </c>
      <c r="W34" s="1" t="s">
        <v>256</v>
      </c>
      <c r="X34" s="115"/>
      <c r="Y34" s="115" t="b">
        <v>1</v>
      </c>
      <c r="Z34" s="20">
        <v>76620.800000000003</v>
      </c>
      <c r="AA34" s="20">
        <v>83692.800000000003</v>
      </c>
      <c r="AB34" s="20">
        <v>7072</v>
      </c>
      <c r="AC34" s="197">
        <v>0</v>
      </c>
      <c r="AD34" s="20">
        <v>0</v>
      </c>
      <c r="AE34" s="20"/>
      <c r="AF34" s="20">
        <v>0</v>
      </c>
      <c r="AG34" s="20">
        <v>0</v>
      </c>
      <c r="AJ34" s="20" t="s">
        <v>894</v>
      </c>
      <c r="AK34" s="20" t="b">
        <v>1</v>
      </c>
      <c r="AM34" s="20"/>
      <c r="AN34" s="20"/>
      <c r="AO34" s="20"/>
      <c r="AP34" s="115"/>
    </row>
    <row r="35" spans="1:42">
      <c r="A35" s="1">
        <v>32</v>
      </c>
      <c r="B35" s="115">
        <v>45392</v>
      </c>
      <c r="C35" s="1" t="s">
        <v>1136</v>
      </c>
      <c r="D35" s="1" t="s">
        <v>258</v>
      </c>
      <c r="E35" s="400"/>
      <c r="F35" s="1">
        <v>26</v>
      </c>
      <c r="G35" s="1" t="s">
        <v>369</v>
      </c>
      <c r="H35" s="20" t="s">
        <v>759</v>
      </c>
      <c r="I35" s="197">
        <v>1</v>
      </c>
      <c r="J35" s="20">
        <v>10</v>
      </c>
      <c r="K35" s="20">
        <v>4</v>
      </c>
      <c r="L35" s="205">
        <v>159</v>
      </c>
      <c r="M35" s="205">
        <v>176</v>
      </c>
      <c r="N35" s="436" t="s">
        <v>1146</v>
      </c>
      <c r="P35" s="20">
        <v>0</v>
      </c>
      <c r="Q35" s="20" t="b">
        <v>0</v>
      </c>
      <c r="R35" s="20" t="s">
        <v>1258</v>
      </c>
      <c r="S35" s="20" t="s">
        <v>471</v>
      </c>
      <c r="T35" s="1">
        <v>0</v>
      </c>
      <c r="U35" s="533">
        <v>0</v>
      </c>
      <c r="V35" s="115" t="s">
        <v>1008</v>
      </c>
      <c r="W35" s="1" t="s">
        <v>256</v>
      </c>
      <c r="X35" s="115"/>
      <c r="Y35" s="115" t="b">
        <v>1</v>
      </c>
      <c r="Z35" s="20">
        <v>1905.24</v>
      </c>
      <c r="AA35" s="20">
        <v>0</v>
      </c>
      <c r="AB35" s="20">
        <v>-1905.24</v>
      </c>
      <c r="AC35" s="197">
        <v>0</v>
      </c>
      <c r="AD35" s="20">
        <v>0</v>
      </c>
      <c r="AE35" s="20"/>
      <c r="AF35" s="20">
        <v>0</v>
      </c>
      <c r="AG35" s="20">
        <v>0</v>
      </c>
      <c r="AJ35" s="20" t="s">
        <v>894</v>
      </c>
      <c r="AK35" s="20" t="b">
        <v>1</v>
      </c>
      <c r="AM35" s="20"/>
      <c r="AN35" s="20"/>
      <c r="AO35" s="20"/>
      <c r="AP35" s="115"/>
    </row>
    <row r="36" spans="1:42">
      <c r="A36" s="458">
        <v>40</v>
      </c>
      <c r="B36" s="534">
        <v>45391</v>
      </c>
      <c r="C36" s="458" t="s">
        <v>247</v>
      </c>
      <c r="D36" s="458" t="s">
        <v>258</v>
      </c>
      <c r="E36" s="535"/>
      <c r="F36" s="458">
        <v>2755</v>
      </c>
      <c r="G36" s="458" t="s">
        <v>257</v>
      </c>
      <c r="H36" s="536" t="s">
        <v>759</v>
      </c>
      <c r="I36" s="537">
        <v>21</v>
      </c>
      <c r="J36" s="536">
        <v>10</v>
      </c>
      <c r="K36" s="536">
        <v>4</v>
      </c>
      <c r="L36" s="538">
        <v>8869</v>
      </c>
      <c r="M36" s="538">
        <v>9265</v>
      </c>
      <c r="N36" s="548"/>
      <c r="O36" s="458"/>
      <c r="P36" s="536">
        <v>0</v>
      </c>
      <c r="Q36" s="536" t="b">
        <v>0</v>
      </c>
      <c r="R36" s="536" t="s">
        <v>468</v>
      </c>
      <c r="S36" s="536" t="s">
        <v>469</v>
      </c>
      <c r="T36" s="458">
        <v>0</v>
      </c>
      <c r="U36" s="547">
        <v>0</v>
      </c>
      <c r="V36" s="534" t="s">
        <v>857</v>
      </c>
      <c r="W36" s="458" t="s">
        <v>256</v>
      </c>
      <c r="X36" s="534"/>
      <c r="Y36" s="534" t="b">
        <v>1</v>
      </c>
      <c r="Z36" s="536">
        <v>163730.51999999999</v>
      </c>
      <c r="AA36" s="536">
        <v>170598.84</v>
      </c>
      <c r="AB36" s="536">
        <v>6868.32</v>
      </c>
      <c r="AC36" s="537">
        <v>0</v>
      </c>
      <c r="AD36" s="536">
        <v>0</v>
      </c>
      <c r="AE36" s="536"/>
      <c r="AF36" s="536">
        <v>0</v>
      </c>
      <c r="AG36" s="536">
        <v>0</v>
      </c>
      <c r="AH36" s="536"/>
      <c r="AI36" s="539"/>
      <c r="AJ36" s="536" t="s">
        <v>894</v>
      </c>
      <c r="AK36" s="536" t="b">
        <v>1</v>
      </c>
      <c r="AL36" s="536"/>
      <c r="AM36" s="536"/>
      <c r="AN36" s="536"/>
      <c r="AO36" s="536"/>
      <c r="AP36" s="115"/>
    </row>
    <row r="37" spans="1:42">
      <c r="A37" s="1">
        <v>23</v>
      </c>
      <c r="B37" s="115">
        <v>45371</v>
      </c>
      <c r="C37" s="1" t="s">
        <v>295</v>
      </c>
      <c r="D37" s="1" t="s">
        <v>258</v>
      </c>
      <c r="E37" s="400"/>
      <c r="F37" s="1">
        <v>3</v>
      </c>
      <c r="G37" s="1" t="s">
        <v>369</v>
      </c>
      <c r="H37" s="20" t="s">
        <v>914</v>
      </c>
      <c r="I37" s="197">
        <v>3</v>
      </c>
      <c r="J37" s="20">
        <v>10</v>
      </c>
      <c r="K37" s="20">
        <v>4</v>
      </c>
      <c r="L37" s="205">
        <v>0</v>
      </c>
      <c r="M37" s="205">
        <v>0</v>
      </c>
      <c r="N37" s="436" t="s">
        <v>1091</v>
      </c>
      <c r="P37" s="20">
        <v>0</v>
      </c>
      <c r="Q37" s="20" t="b">
        <v>0</v>
      </c>
      <c r="R37" s="20" t="s">
        <v>468</v>
      </c>
      <c r="S37" s="20" t="s">
        <v>467</v>
      </c>
      <c r="T37" s="1">
        <v>0</v>
      </c>
      <c r="U37" s="115">
        <v>0</v>
      </c>
      <c r="V37" s="115" t="s">
        <v>857</v>
      </c>
      <c r="W37" s="1" t="s">
        <v>256</v>
      </c>
      <c r="X37" s="115"/>
      <c r="Y37" s="115" t="b">
        <v>0</v>
      </c>
      <c r="Z37" s="20">
        <v>0</v>
      </c>
      <c r="AA37" s="20">
        <v>44675</v>
      </c>
      <c r="AB37" s="20">
        <v>44675</v>
      </c>
      <c r="AC37" s="197">
        <v>0</v>
      </c>
      <c r="AD37" s="20">
        <v>0</v>
      </c>
      <c r="AE37" s="20"/>
      <c r="AF37" s="20">
        <v>0</v>
      </c>
      <c r="AG37" s="20">
        <v>0</v>
      </c>
      <c r="AJ37" s="20" t="s">
        <v>894</v>
      </c>
      <c r="AK37" s="20" t="b">
        <v>1</v>
      </c>
      <c r="AM37" s="20"/>
      <c r="AN37" s="20"/>
      <c r="AO37" s="20"/>
      <c r="AP37" s="115"/>
    </row>
    <row r="38" spans="1:42">
      <c r="A38" s="1">
        <v>22</v>
      </c>
      <c r="B38" s="115">
        <v>45369</v>
      </c>
      <c r="C38" s="1" t="s">
        <v>383</v>
      </c>
      <c r="D38" s="1"/>
      <c r="E38" s="400"/>
      <c r="F38" s="1">
        <v>1</v>
      </c>
      <c r="G38" s="1"/>
      <c r="H38" s="20" t="s">
        <v>1010</v>
      </c>
      <c r="I38" s="197">
        <v>0</v>
      </c>
      <c r="J38" s="20">
        <v>10</v>
      </c>
      <c r="K38" s="20">
        <v>4</v>
      </c>
      <c r="L38" s="205">
        <v>12</v>
      </c>
      <c r="M38" s="205">
        <v>12</v>
      </c>
      <c r="N38" s="436" t="s">
        <v>1093</v>
      </c>
      <c r="O38" s="1" t="s">
        <v>1009</v>
      </c>
      <c r="P38" s="20">
        <v>160</v>
      </c>
      <c r="Q38" s="20" t="b">
        <v>1</v>
      </c>
      <c r="R38" s="20" t="s">
        <v>1258</v>
      </c>
      <c r="S38" s="20" t="s">
        <v>471</v>
      </c>
      <c r="T38" s="1">
        <v>0</v>
      </c>
      <c r="U38" s="115">
        <v>0</v>
      </c>
      <c r="V38" s="115" t="s">
        <v>1008</v>
      </c>
      <c r="X38" s="115"/>
      <c r="Y38" s="115" t="b">
        <v>1</v>
      </c>
      <c r="Z38" s="20">
        <v>350.4</v>
      </c>
      <c r="AA38" s="20">
        <v>0</v>
      </c>
      <c r="AB38" s="20">
        <v>-350.4</v>
      </c>
      <c r="AC38" s="197">
        <v>0</v>
      </c>
      <c r="AD38" s="20">
        <v>0</v>
      </c>
      <c r="AE38" s="20"/>
      <c r="AF38" s="20">
        <v>0</v>
      </c>
      <c r="AG38" s="20">
        <v>0</v>
      </c>
      <c r="AJ38" s="20" t="s">
        <v>894</v>
      </c>
      <c r="AK38" s="20" t="b">
        <v>1</v>
      </c>
      <c r="AM38" s="20"/>
      <c r="AN38" s="20"/>
      <c r="AO38" s="20"/>
      <c r="AP38" s="115"/>
    </row>
    <row r="39" spans="1:42">
      <c r="A39" s="1">
        <v>21</v>
      </c>
      <c r="B39" s="115">
        <v>45369</v>
      </c>
      <c r="C39" s="1" t="s">
        <v>310</v>
      </c>
      <c r="D39" s="1" t="s">
        <v>258</v>
      </c>
      <c r="E39" s="400"/>
      <c r="F39" s="1">
        <v>1</v>
      </c>
      <c r="G39" s="1" t="s">
        <v>257</v>
      </c>
      <c r="H39" s="20" t="s">
        <v>1010</v>
      </c>
      <c r="I39" s="197">
        <v>0</v>
      </c>
      <c r="J39" s="20">
        <v>10</v>
      </c>
      <c r="K39" s="20">
        <v>4</v>
      </c>
      <c r="L39" s="205"/>
      <c r="M39" s="205"/>
      <c r="N39" s="436" t="s">
        <v>1088</v>
      </c>
      <c r="O39" s="1" t="s">
        <v>1009</v>
      </c>
      <c r="P39" s="20">
        <v>36.89</v>
      </c>
      <c r="Q39" s="20" t="b">
        <v>1</v>
      </c>
      <c r="R39" s="20" t="s">
        <v>1258</v>
      </c>
      <c r="S39" s="20" t="s">
        <v>471</v>
      </c>
      <c r="T39" s="1">
        <v>0</v>
      </c>
      <c r="U39" s="115">
        <v>0</v>
      </c>
      <c r="V39" s="115" t="s">
        <v>1008</v>
      </c>
      <c r="X39" s="115"/>
      <c r="Y39" s="115" t="b">
        <v>1</v>
      </c>
      <c r="Z39" s="20"/>
      <c r="AA39" s="20"/>
      <c r="AC39" s="197">
        <v>0</v>
      </c>
      <c r="AD39" s="20">
        <v>0</v>
      </c>
      <c r="AE39" s="20"/>
      <c r="AF39" s="20">
        <v>0</v>
      </c>
      <c r="AG39" s="20">
        <v>0</v>
      </c>
      <c r="AJ39" s="20" t="s">
        <v>894</v>
      </c>
      <c r="AK39" s="20" t="b">
        <v>1</v>
      </c>
      <c r="AM39" s="20"/>
      <c r="AN39" s="20"/>
      <c r="AO39" s="20"/>
      <c r="AP39" s="115"/>
    </row>
    <row r="40" spans="1:42">
      <c r="A40" s="1">
        <v>20</v>
      </c>
      <c r="B40" s="115">
        <v>45352</v>
      </c>
      <c r="C40" s="1" t="s">
        <v>855</v>
      </c>
      <c r="D40" s="1" t="s">
        <v>258</v>
      </c>
      <c r="E40" s="400"/>
      <c r="F40" s="1">
        <v>1</v>
      </c>
      <c r="G40" s="1"/>
      <c r="H40" s="20" t="s">
        <v>1010</v>
      </c>
      <c r="I40" s="197">
        <v>0</v>
      </c>
      <c r="J40" s="20">
        <v>10</v>
      </c>
      <c r="K40" s="20">
        <v>4</v>
      </c>
      <c r="L40" s="205">
        <v>8</v>
      </c>
      <c r="M40" s="205">
        <v>9</v>
      </c>
      <c r="N40" s="436"/>
      <c r="O40" s="1" t="s">
        <v>1009</v>
      </c>
      <c r="P40" s="20">
        <v>49</v>
      </c>
      <c r="Q40" s="20" t="b">
        <v>1</v>
      </c>
      <c r="R40" s="20" t="s">
        <v>1258</v>
      </c>
      <c r="S40" s="20" t="s">
        <v>471</v>
      </c>
      <c r="T40" s="1">
        <v>0</v>
      </c>
      <c r="U40" s="115">
        <v>0</v>
      </c>
      <c r="V40" s="115" t="s">
        <v>1008</v>
      </c>
      <c r="X40" s="115"/>
      <c r="Y40" s="115" t="b">
        <v>1</v>
      </c>
      <c r="Z40" s="20">
        <v>181.2</v>
      </c>
      <c r="AA40" s="20">
        <v>0</v>
      </c>
      <c r="AB40" s="20">
        <v>-181.2</v>
      </c>
      <c r="AC40" s="197">
        <v>0</v>
      </c>
      <c r="AD40" s="20">
        <v>0</v>
      </c>
      <c r="AE40" s="20"/>
      <c r="AF40" s="20">
        <v>0</v>
      </c>
      <c r="AG40" s="20">
        <v>0</v>
      </c>
      <c r="AJ40" s="20" t="s">
        <v>894</v>
      </c>
      <c r="AK40" s="20" t="b">
        <v>1</v>
      </c>
      <c r="AM40" s="20"/>
      <c r="AN40" s="20"/>
      <c r="AO40" s="20"/>
      <c r="AP40" s="115"/>
    </row>
    <row r="41" spans="1:42">
      <c r="A41" s="458">
        <v>52</v>
      </c>
      <c r="B41" s="534">
        <v>45435</v>
      </c>
      <c r="C41" s="458" t="s">
        <v>247</v>
      </c>
      <c r="D41" s="458" t="s">
        <v>258</v>
      </c>
      <c r="E41" s="535"/>
      <c r="F41" s="458">
        <v>1</v>
      </c>
      <c r="G41" s="458" t="s">
        <v>257</v>
      </c>
      <c r="H41" s="536" t="s">
        <v>1010</v>
      </c>
      <c r="I41" s="537">
        <v>0</v>
      </c>
      <c r="J41" s="536">
        <v>10</v>
      </c>
      <c r="K41" s="536">
        <v>4</v>
      </c>
      <c r="L41" s="538">
        <v>6</v>
      </c>
      <c r="M41" s="538">
        <v>7</v>
      </c>
      <c r="N41" s="589" t="s">
        <v>1259</v>
      </c>
      <c r="O41" s="458" t="s">
        <v>1009</v>
      </c>
      <c r="P41" s="536">
        <v>49</v>
      </c>
      <c r="Q41" s="536" t="b">
        <v>1</v>
      </c>
      <c r="R41" s="536" t="s">
        <v>1258</v>
      </c>
      <c r="S41" s="536" t="s">
        <v>743</v>
      </c>
      <c r="T41" s="458"/>
      <c r="U41" s="547">
        <v>0</v>
      </c>
      <c r="V41" s="534" t="s">
        <v>1008</v>
      </c>
      <c r="W41" s="458" t="s">
        <v>256</v>
      </c>
      <c r="X41" s="534"/>
      <c r="Y41" s="534" t="b">
        <v>1</v>
      </c>
      <c r="Z41" s="536">
        <v>83.64</v>
      </c>
      <c r="AA41" s="536">
        <v>0</v>
      </c>
      <c r="AB41" s="536">
        <v>-83.64</v>
      </c>
      <c r="AC41" s="537">
        <v>0</v>
      </c>
      <c r="AD41" s="536">
        <v>0</v>
      </c>
      <c r="AE41" s="536"/>
      <c r="AF41" s="536">
        <v>0</v>
      </c>
      <c r="AG41" s="536">
        <v>0</v>
      </c>
      <c r="AH41" s="536"/>
      <c r="AI41" s="539"/>
      <c r="AJ41" s="536" t="s">
        <v>894</v>
      </c>
      <c r="AK41" s="536" t="b">
        <v>1</v>
      </c>
      <c r="AL41" s="536"/>
      <c r="AM41" s="536"/>
      <c r="AN41" s="536"/>
      <c r="AO41" s="536"/>
      <c r="AP41" s="115"/>
    </row>
    <row r="42" spans="1:42">
      <c r="A42" s="458">
        <v>51</v>
      </c>
      <c r="B42" s="534">
        <v>45433</v>
      </c>
      <c r="C42" s="458" t="s">
        <v>329</v>
      </c>
      <c r="D42" s="458" t="s">
        <v>258</v>
      </c>
      <c r="E42" s="535"/>
      <c r="F42" s="458">
        <v>376</v>
      </c>
      <c r="G42" s="458" t="s">
        <v>369</v>
      </c>
      <c r="H42" s="536" t="s">
        <v>759</v>
      </c>
      <c r="I42" s="537">
        <v>7</v>
      </c>
      <c r="J42" s="536">
        <v>10</v>
      </c>
      <c r="K42" s="536">
        <v>4</v>
      </c>
      <c r="L42" s="538">
        <v>2666</v>
      </c>
      <c r="M42" s="538">
        <v>2860</v>
      </c>
      <c r="N42" s="589" t="s">
        <v>1310</v>
      </c>
      <c r="O42" s="458"/>
      <c r="P42" s="536">
        <v>0</v>
      </c>
      <c r="Q42" s="536" t="b">
        <v>0</v>
      </c>
      <c r="R42" s="536" t="s">
        <v>468</v>
      </c>
      <c r="S42" s="536" t="s">
        <v>469</v>
      </c>
      <c r="T42" s="458"/>
      <c r="U42" s="547">
        <v>0</v>
      </c>
      <c r="V42" s="534" t="s">
        <v>857</v>
      </c>
      <c r="W42" s="458" t="s">
        <v>328</v>
      </c>
      <c r="X42" s="534"/>
      <c r="Y42" s="534" t="b">
        <v>0</v>
      </c>
      <c r="Z42" s="536">
        <v>63108.95</v>
      </c>
      <c r="AA42" s="536">
        <v>63108.95</v>
      </c>
      <c r="AB42" s="536">
        <v>0</v>
      </c>
      <c r="AC42" s="537">
        <v>0</v>
      </c>
      <c r="AD42" s="536">
        <v>0</v>
      </c>
      <c r="AE42" s="536"/>
      <c r="AF42" s="536">
        <v>0</v>
      </c>
      <c r="AG42" s="536">
        <v>0</v>
      </c>
      <c r="AH42" s="536"/>
      <c r="AI42" s="539"/>
      <c r="AJ42" s="536" t="s">
        <v>894</v>
      </c>
      <c r="AK42" s="536" t="b">
        <v>1</v>
      </c>
      <c r="AL42" s="536"/>
      <c r="AM42" s="536"/>
      <c r="AN42" s="536"/>
      <c r="AO42" s="536"/>
      <c r="AP42" s="533">
        <v>0</v>
      </c>
    </row>
    <row r="43" spans="1:42">
      <c r="A43" s="458">
        <v>35</v>
      </c>
      <c r="B43" s="534">
        <v>45406</v>
      </c>
      <c r="C43" s="458" t="s">
        <v>371</v>
      </c>
      <c r="D43" s="458" t="s">
        <v>258</v>
      </c>
      <c r="E43" s="535"/>
      <c r="F43" s="458">
        <v>1178</v>
      </c>
      <c r="G43" s="458" t="s">
        <v>369</v>
      </c>
      <c r="H43" s="536" t="s">
        <v>914</v>
      </c>
      <c r="I43" s="537">
        <v>19</v>
      </c>
      <c r="J43" s="536">
        <v>10</v>
      </c>
      <c r="K43" s="536">
        <v>4</v>
      </c>
      <c r="L43" s="538">
        <v>6486</v>
      </c>
      <c r="M43" s="538">
        <v>7242</v>
      </c>
      <c r="N43" s="546" t="s">
        <v>1314</v>
      </c>
      <c r="O43" s="458"/>
      <c r="P43" s="536">
        <v>0</v>
      </c>
      <c r="Q43" s="536" t="b">
        <v>0</v>
      </c>
      <c r="R43" s="536" t="s">
        <v>1207</v>
      </c>
      <c r="S43" s="536" t="s">
        <v>469</v>
      </c>
      <c r="T43" s="458"/>
      <c r="U43" s="547">
        <v>0</v>
      </c>
      <c r="V43" s="534" t="s">
        <v>857</v>
      </c>
      <c r="W43" s="458" t="s">
        <v>256</v>
      </c>
      <c r="X43" s="534"/>
      <c r="Y43" s="534" t="b">
        <v>0</v>
      </c>
      <c r="Z43" s="536">
        <v>90868.800000000003</v>
      </c>
      <c r="AA43" s="536">
        <v>98661.6</v>
      </c>
      <c r="AB43" s="536">
        <v>7792.8</v>
      </c>
      <c r="AC43" s="537">
        <v>0</v>
      </c>
      <c r="AD43" s="536">
        <v>0</v>
      </c>
      <c r="AE43" s="536"/>
      <c r="AF43" s="536">
        <v>0</v>
      </c>
      <c r="AG43" s="536">
        <v>0</v>
      </c>
      <c r="AH43" s="536"/>
      <c r="AI43" s="539"/>
      <c r="AJ43" s="536" t="s">
        <v>894</v>
      </c>
      <c r="AK43" s="536" t="b">
        <v>1</v>
      </c>
      <c r="AL43" s="536"/>
      <c r="AM43" s="536"/>
      <c r="AN43" s="536"/>
      <c r="AO43" s="536"/>
      <c r="AP43" s="533">
        <v>0</v>
      </c>
    </row>
    <row r="44" spans="1:42">
      <c r="A44" s="1">
        <v>15</v>
      </c>
      <c r="B44" s="115">
        <v>45358</v>
      </c>
      <c r="C44" s="1" t="s">
        <v>945</v>
      </c>
      <c r="D44" s="1" t="s">
        <v>782</v>
      </c>
      <c r="E44" s="400"/>
      <c r="F44" s="1">
        <v>1</v>
      </c>
      <c r="G44" s="1"/>
      <c r="H44" s="20" t="s">
        <v>759</v>
      </c>
      <c r="I44" s="197">
        <v>2</v>
      </c>
      <c r="J44" s="20">
        <v>10</v>
      </c>
      <c r="K44" s="20">
        <v>4</v>
      </c>
      <c r="L44" s="205">
        <v>592</v>
      </c>
      <c r="M44" s="205">
        <v>619</v>
      </c>
      <c r="N44" s="436" t="s">
        <v>1311</v>
      </c>
      <c r="P44" s="20">
        <v>0</v>
      </c>
      <c r="Q44" s="20" t="b">
        <v>0</v>
      </c>
      <c r="R44" s="20" t="s">
        <v>468</v>
      </c>
      <c r="S44" s="20" t="s">
        <v>467</v>
      </c>
      <c r="T44" s="1"/>
      <c r="U44" s="533">
        <v>0</v>
      </c>
      <c r="V44" s="115" t="s">
        <v>857</v>
      </c>
      <c r="X44" s="115"/>
      <c r="Y44" s="115" t="b">
        <v>0</v>
      </c>
      <c r="Z44" s="20">
        <v>17520</v>
      </c>
      <c r="AA44" s="20">
        <v>20250</v>
      </c>
      <c r="AB44" s="20">
        <v>2730</v>
      </c>
      <c r="AC44" s="197">
        <v>0</v>
      </c>
      <c r="AD44" s="20">
        <v>0</v>
      </c>
      <c r="AE44" s="20"/>
      <c r="AF44" s="20">
        <v>0</v>
      </c>
      <c r="AG44" s="20">
        <v>0</v>
      </c>
      <c r="AJ44" s="20" t="s">
        <v>894</v>
      </c>
      <c r="AK44" s="20" t="b">
        <v>1</v>
      </c>
      <c r="AM44" s="20"/>
      <c r="AN44" s="20"/>
      <c r="AO44" s="20"/>
      <c r="AP44" s="533">
        <v>0</v>
      </c>
    </row>
    <row r="45" spans="1:42" ht="45.75">
      <c r="A45" s="1">
        <v>14</v>
      </c>
      <c r="B45" s="115">
        <v>45358</v>
      </c>
      <c r="C45" s="1" t="s">
        <v>945</v>
      </c>
      <c r="D45" s="1" t="s">
        <v>782</v>
      </c>
      <c r="E45" s="400"/>
      <c r="F45" s="1">
        <v>150</v>
      </c>
      <c r="G45" s="1"/>
      <c r="H45" s="20" t="s">
        <v>759</v>
      </c>
      <c r="I45" s="197">
        <v>7</v>
      </c>
      <c r="J45" s="20">
        <v>10</v>
      </c>
      <c r="K45" s="20">
        <v>4</v>
      </c>
      <c r="L45" s="205">
        <v>592</v>
      </c>
      <c r="M45" s="205">
        <v>619</v>
      </c>
      <c r="N45" s="685" t="s">
        <v>1312</v>
      </c>
      <c r="P45" s="20">
        <v>0</v>
      </c>
      <c r="Q45" s="20" t="b">
        <v>0</v>
      </c>
      <c r="R45" s="20" t="s">
        <v>468</v>
      </c>
      <c r="S45" s="20" t="s">
        <v>467</v>
      </c>
      <c r="T45" s="1"/>
      <c r="U45" s="533">
        <v>0</v>
      </c>
      <c r="V45" s="115" t="s">
        <v>857</v>
      </c>
      <c r="X45" s="115"/>
      <c r="Y45" s="115" t="b">
        <v>0</v>
      </c>
      <c r="Z45" s="20">
        <v>17520</v>
      </c>
      <c r="AA45" s="20">
        <v>20250</v>
      </c>
      <c r="AB45" s="20">
        <v>2730</v>
      </c>
      <c r="AC45" s="197">
        <v>0</v>
      </c>
      <c r="AD45" s="20">
        <v>0</v>
      </c>
      <c r="AE45" s="20"/>
      <c r="AF45" s="20">
        <v>0</v>
      </c>
      <c r="AG45" s="20">
        <v>0</v>
      </c>
      <c r="AJ45" s="20" t="s">
        <v>894</v>
      </c>
      <c r="AK45" s="20" t="b">
        <v>1</v>
      </c>
      <c r="AM45" s="20"/>
      <c r="AN45" s="20"/>
      <c r="AO45" s="20"/>
      <c r="AP45" s="533">
        <v>0</v>
      </c>
    </row>
    <row r="46" spans="1:42">
      <c r="A46" s="1">
        <v>13</v>
      </c>
      <c r="B46" s="115">
        <v>45358</v>
      </c>
      <c r="C46" s="1" t="s">
        <v>844</v>
      </c>
      <c r="D46" s="1" t="s">
        <v>285</v>
      </c>
      <c r="E46" s="400"/>
      <c r="F46" s="1">
        <v>377</v>
      </c>
      <c r="G46" s="1" t="s">
        <v>369</v>
      </c>
      <c r="H46" s="20" t="s">
        <v>914</v>
      </c>
      <c r="I46" s="197">
        <v>7</v>
      </c>
      <c r="J46" s="20">
        <v>10</v>
      </c>
      <c r="K46" s="20">
        <v>4</v>
      </c>
      <c r="L46" s="205">
        <v>2256</v>
      </c>
      <c r="M46" s="205">
        <v>2523</v>
      </c>
      <c r="N46" s="436" t="s">
        <v>1314</v>
      </c>
      <c r="P46" s="20">
        <v>0</v>
      </c>
      <c r="Q46" s="20" t="b">
        <v>0</v>
      </c>
      <c r="R46" s="20" t="s">
        <v>1207</v>
      </c>
      <c r="S46" s="20" t="s">
        <v>467</v>
      </c>
      <c r="T46" s="1"/>
      <c r="U46" s="533">
        <v>0</v>
      </c>
      <c r="V46" s="115" t="s">
        <v>857</v>
      </c>
      <c r="W46" s="1" t="s">
        <v>256</v>
      </c>
      <c r="X46" s="115"/>
      <c r="Y46" s="115" t="b">
        <v>0</v>
      </c>
      <c r="Z46" s="20">
        <v>35160.559999999998</v>
      </c>
      <c r="AA46" s="20">
        <v>34736.28</v>
      </c>
      <c r="AB46" s="20">
        <v>-424.28</v>
      </c>
      <c r="AC46" s="197">
        <v>0</v>
      </c>
      <c r="AD46" s="20">
        <v>0</v>
      </c>
      <c r="AE46" s="20"/>
      <c r="AF46" s="20">
        <v>0</v>
      </c>
      <c r="AG46" s="20">
        <v>0</v>
      </c>
      <c r="AJ46" s="20" t="s">
        <v>894</v>
      </c>
      <c r="AK46" s="20" t="b">
        <v>1</v>
      </c>
      <c r="AM46" s="20"/>
      <c r="AN46" s="20"/>
      <c r="AO46" s="20"/>
      <c r="AP46" s="533">
        <v>0</v>
      </c>
    </row>
    <row r="47" spans="1:42" ht="45.75">
      <c r="A47" s="458">
        <v>39</v>
      </c>
      <c r="B47" s="534">
        <v>45287</v>
      </c>
      <c r="C47" s="458" t="s">
        <v>368</v>
      </c>
      <c r="D47" s="458" t="s">
        <v>258</v>
      </c>
      <c r="E47" s="535"/>
      <c r="F47" s="458">
        <v>122</v>
      </c>
      <c r="G47" s="458" t="s">
        <v>369</v>
      </c>
      <c r="H47" s="536" t="s">
        <v>914</v>
      </c>
      <c r="I47" s="537">
        <v>2</v>
      </c>
      <c r="J47" s="536">
        <v>10</v>
      </c>
      <c r="K47" s="536">
        <v>4</v>
      </c>
      <c r="L47" s="538">
        <v>773</v>
      </c>
      <c r="M47" s="538">
        <v>839</v>
      </c>
      <c r="N47" s="686" t="s">
        <v>1315</v>
      </c>
      <c r="O47" s="458"/>
      <c r="P47" s="536">
        <v>0</v>
      </c>
      <c r="Q47" s="536" t="b">
        <v>0</v>
      </c>
      <c r="R47" s="536" t="s">
        <v>1207</v>
      </c>
      <c r="S47" s="536" t="s">
        <v>467</v>
      </c>
      <c r="T47" s="458"/>
      <c r="U47" s="547">
        <v>0</v>
      </c>
      <c r="V47" s="534" t="s">
        <v>857</v>
      </c>
      <c r="W47" s="458"/>
      <c r="X47" s="534"/>
      <c r="Y47" s="534" t="b">
        <v>0</v>
      </c>
      <c r="Z47" s="536">
        <v>15536.64</v>
      </c>
      <c r="AA47" s="536">
        <v>20476.8</v>
      </c>
      <c r="AB47" s="536">
        <v>4940.16</v>
      </c>
      <c r="AC47" s="537">
        <v>0</v>
      </c>
      <c r="AD47" s="536">
        <v>0</v>
      </c>
      <c r="AE47" s="536"/>
      <c r="AF47" s="536">
        <v>0</v>
      </c>
      <c r="AG47" s="536">
        <v>0</v>
      </c>
      <c r="AH47" s="536"/>
      <c r="AI47" s="539"/>
      <c r="AJ47" s="536" t="s">
        <v>894</v>
      </c>
      <c r="AK47" s="536" t="b">
        <v>1</v>
      </c>
      <c r="AL47" s="536"/>
      <c r="AM47" s="536"/>
      <c r="AN47" s="536"/>
      <c r="AO47" s="536"/>
      <c r="AP47" s="533">
        <v>0</v>
      </c>
    </row>
  </sheetData>
  <sortState ref="A2:AP46">
    <sortCondition descending="1" ref="R1:R46" customList="ON GOING,ON WAITING,SHIPPED,DELIVERED"/>
    <sortCondition descending="1" ref="B1:B46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14"/>
  <dimension ref="A1:AI34"/>
  <sheetViews>
    <sheetView workbookViewId="0">
      <pane ySplit="2" topLeftCell="A3" activePane="bottomLeft" state="frozen"/>
      <selection activeCell="A5" sqref="A5"/>
      <selection pane="bottomLeft" activeCell="C12" sqref="C12"/>
    </sheetView>
  </sheetViews>
  <sheetFormatPr defaultColWidth="9.140625" defaultRowHeight="15"/>
  <cols>
    <col min="1" max="1" width="14.28515625" style="17" customWidth="1"/>
    <col min="2" max="2" width="14.28515625" style="93" customWidth="1"/>
    <col min="3" max="3" width="17" style="17" bestFit="1" customWidth="1"/>
    <col min="4" max="4" width="14.28515625" style="17" customWidth="1"/>
    <col min="5" max="5" width="15.85546875" style="17" customWidth="1"/>
    <col min="6" max="6" width="18.28515625" style="17" customWidth="1"/>
    <col min="7" max="7" width="44.85546875" style="17" bestFit="1" customWidth="1"/>
    <col min="8" max="10" width="14.28515625" style="21" customWidth="1"/>
    <col min="11" max="11" width="15.42578125" style="21" customWidth="1"/>
    <col min="12" max="13" width="14.28515625" style="21" customWidth="1"/>
    <col min="14" max="14" width="29.5703125" style="1" customWidth="1"/>
    <col min="15" max="15" width="14.7109375" style="1" customWidth="1"/>
    <col min="16" max="17" width="14.28515625" style="20" customWidth="1"/>
    <col min="18" max="18" width="15.7109375" style="1" customWidth="1"/>
    <col min="19" max="19" width="12.140625" customWidth="1"/>
    <col min="20" max="21" width="14.28515625" style="1" customWidth="1"/>
    <col min="22" max="25" width="15.85546875" style="1" customWidth="1"/>
    <col min="26" max="27" width="14.28515625" style="20" customWidth="1"/>
    <col min="28" max="28" width="21.140625" style="20" customWidth="1"/>
    <col min="29" max="29" width="14.28515625" style="20" customWidth="1"/>
    <col min="30" max="30" width="20.85546875" style="20" customWidth="1"/>
    <col min="31" max="31" width="60.5703125" customWidth="1"/>
    <col min="32" max="32" width="12.85546875" style="1" customWidth="1"/>
    <col min="33" max="33" width="14.28515625" style="1" customWidth="1"/>
    <col min="35" max="35" width="11.5703125" style="114" bestFit="1" customWidth="1"/>
  </cols>
  <sheetData>
    <row r="1" spans="1:35">
      <c r="A1" s="693" t="s">
        <v>432</v>
      </c>
      <c r="B1" s="693"/>
      <c r="C1" s="693"/>
      <c r="D1" s="693"/>
      <c r="E1" s="694" t="s">
        <v>433</v>
      </c>
      <c r="F1" s="695"/>
      <c r="G1" s="695"/>
      <c r="H1" s="695"/>
      <c r="I1" s="695"/>
      <c r="J1" s="695"/>
      <c r="K1" s="695"/>
      <c r="L1" s="695"/>
      <c r="M1" s="695"/>
      <c r="N1" s="695"/>
      <c r="O1" s="695"/>
      <c r="P1" s="695"/>
      <c r="Q1" s="695"/>
      <c r="R1" s="696"/>
      <c r="S1" s="697" t="s">
        <v>434</v>
      </c>
      <c r="T1" s="697"/>
      <c r="U1" s="697"/>
      <c r="V1" s="697"/>
      <c r="W1" s="697"/>
      <c r="X1" s="697"/>
      <c r="Y1" s="697"/>
      <c r="Z1" s="697"/>
      <c r="AA1" s="170"/>
      <c r="AB1" s="170"/>
      <c r="AC1" s="170"/>
      <c r="AD1" s="170"/>
      <c r="AE1" s="1"/>
      <c r="AF1"/>
      <c r="AG1" s="114"/>
      <c r="AI1"/>
    </row>
    <row r="2" spans="1:35" s="90" customFormat="1" ht="42" customHeight="1">
      <c r="A2" s="90" t="s">
        <v>472</v>
      </c>
      <c r="B2" s="116" t="s">
        <v>435</v>
      </c>
      <c r="C2" s="90" t="s">
        <v>436</v>
      </c>
      <c r="D2" s="90" t="s">
        <v>243</v>
      </c>
      <c r="E2" s="90" t="s">
        <v>437</v>
      </c>
      <c r="F2" s="90" t="s">
        <v>438</v>
      </c>
      <c r="G2" s="90" t="s">
        <v>242</v>
      </c>
      <c r="H2" s="90" t="s">
        <v>439</v>
      </c>
      <c r="I2" s="90" t="s">
        <v>440</v>
      </c>
      <c r="J2" s="90" t="s">
        <v>441</v>
      </c>
      <c r="K2" s="90" t="s">
        <v>442</v>
      </c>
      <c r="L2" s="90" t="s">
        <v>15</v>
      </c>
      <c r="M2" s="90" t="s">
        <v>16</v>
      </c>
      <c r="N2" s="90" t="s">
        <v>443</v>
      </c>
      <c r="O2" s="90" t="s">
        <v>444</v>
      </c>
      <c r="P2" s="92" t="s">
        <v>445</v>
      </c>
      <c r="Q2" s="92" t="s">
        <v>446</v>
      </c>
      <c r="R2" s="90" t="s">
        <v>447</v>
      </c>
      <c r="S2" s="90" t="s">
        <v>449</v>
      </c>
      <c r="T2" s="90" t="s">
        <v>450</v>
      </c>
      <c r="U2" s="116" t="s">
        <v>451</v>
      </c>
      <c r="V2" s="90" t="s">
        <v>452</v>
      </c>
      <c r="W2" s="116" t="s">
        <v>453</v>
      </c>
      <c r="X2" s="90" t="s">
        <v>454</v>
      </c>
      <c r="Y2" s="92" t="s">
        <v>455</v>
      </c>
      <c r="Z2" s="90" t="s">
        <v>456</v>
      </c>
      <c r="AA2" s="90" t="s">
        <v>473</v>
      </c>
      <c r="AB2" s="90" t="s">
        <v>474</v>
      </c>
      <c r="AC2" s="90" t="s">
        <v>475</v>
      </c>
      <c r="AD2" s="90" t="s">
        <v>476</v>
      </c>
      <c r="AE2" s="90" t="s">
        <v>463</v>
      </c>
      <c r="AG2" s="116"/>
    </row>
    <row r="3" spans="1:35">
      <c r="A3" s="1">
        <v>20230012</v>
      </c>
      <c r="B3" s="115">
        <v>45365</v>
      </c>
      <c r="C3" s="1" t="s">
        <v>477</v>
      </c>
      <c r="D3" s="1" t="s">
        <v>258</v>
      </c>
      <c r="E3" s="1"/>
      <c r="F3" s="1">
        <v>600</v>
      </c>
      <c r="G3" s="1"/>
      <c r="H3" s="1" t="s">
        <v>478</v>
      </c>
      <c r="I3" s="1">
        <v>33</v>
      </c>
      <c r="J3" s="20">
        <v>10</v>
      </c>
      <c r="K3" s="20">
        <v>4</v>
      </c>
      <c r="L3" s="1">
        <v>7500</v>
      </c>
      <c r="M3" s="1">
        <v>9000</v>
      </c>
      <c r="S3" s="1"/>
      <c r="T3" s="115"/>
      <c r="U3" s="115"/>
      <c r="V3" s="115"/>
      <c r="W3" s="115"/>
      <c r="X3" s="20"/>
      <c r="Y3" s="20"/>
      <c r="AE3" s="1"/>
      <c r="AF3"/>
      <c r="AG3" s="114"/>
      <c r="AI3"/>
    </row>
    <row r="4" spans="1:35">
      <c r="A4" s="1"/>
      <c r="B4" s="115"/>
      <c r="C4" s="1"/>
      <c r="D4" s="1"/>
      <c r="E4" s="1"/>
      <c r="F4" s="1"/>
      <c r="G4" s="1"/>
      <c r="H4" s="1"/>
      <c r="I4" s="1"/>
      <c r="J4" s="20"/>
      <c r="K4" s="20"/>
      <c r="L4" s="1"/>
      <c r="M4" s="1"/>
      <c r="S4" s="1"/>
      <c r="T4" s="115"/>
      <c r="U4" s="115"/>
      <c r="V4" s="115"/>
      <c r="W4" s="115"/>
      <c r="X4" s="20"/>
      <c r="Y4" s="20"/>
      <c r="AE4" s="1"/>
      <c r="AF4"/>
      <c r="AG4" s="114"/>
      <c r="AI4"/>
    </row>
    <row r="5" spans="1:35">
      <c r="A5" s="1"/>
      <c r="B5" s="115"/>
      <c r="C5" s="1"/>
      <c r="D5" s="1"/>
      <c r="E5" s="1"/>
      <c r="F5" s="1"/>
      <c r="G5" s="1"/>
      <c r="H5" s="1"/>
      <c r="I5" s="1"/>
      <c r="J5" s="20"/>
      <c r="K5" s="20"/>
      <c r="L5" s="1"/>
      <c r="M5" s="1"/>
      <c r="S5" s="1"/>
      <c r="T5" s="115"/>
      <c r="U5" s="115"/>
      <c r="V5" s="115"/>
      <c r="W5" s="115"/>
      <c r="X5" s="20"/>
      <c r="Y5" s="20"/>
      <c r="AE5" s="1"/>
      <c r="AF5"/>
      <c r="AG5" s="114"/>
      <c r="AI5"/>
    </row>
    <row r="6" spans="1:35">
      <c r="A6" s="1"/>
      <c r="B6" s="115"/>
      <c r="C6" s="1"/>
      <c r="D6" s="1"/>
      <c r="E6" s="1"/>
      <c r="F6" s="1"/>
      <c r="G6" s="1"/>
      <c r="H6" s="1"/>
      <c r="I6" s="1"/>
      <c r="J6" s="20"/>
      <c r="K6" s="20"/>
      <c r="L6" s="1"/>
      <c r="M6" s="1"/>
      <c r="S6" s="1"/>
      <c r="T6" s="115"/>
      <c r="U6" s="115"/>
      <c r="V6" s="115"/>
      <c r="W6" s="115"/>
      <c r="X6" s="20"/>
      <c r="Y6" s="20"/>
      <c r="AE6" s="1"/>
      <c r="AF6"/>
      <c r="AG6" s="114"/>
      <c r="AI6"/>
    </row>
    <row r="7" spans="1:35">
      <c r="A7" s="1"/>
      <c r="B7" s="115"/>
      <c r="C7" s="1"/>
      <c r="D7" s="1"/>
      <c r="E7" s="1"/>
      <c r="F7" s="1"/>
      <c r="G7" s="1"/>
      <c r="H7" s="20"/>
      <c r="I7" s="1"/>
      <c r="J7" s="20"/>
      <c r="K7" s="20"/>
      <c r="L7" s="1"/>
      <c r="M7" s="1"/>
      <c r="R7" s="20"/>
      <c r="S7" s="1"/>
      <c r="T7" s="115"/>
      <c r="U7" s="115"/>
      <c r="V7" s="115"/>
      <c r="W7" s="115"/>
      <c r="X7" s="20"/>
      <c r="Y7" s="20"/>
      <c r="AE7" s="1"/>
      <c r="AF7"/>
      <c r="AG7" s="114"/>
      <c r="AI7"/>
    </row>
    <row r="8" spans="1:35">
      <c r="A8" s="1"/>
      <c r="B8" s="115"/>
      <c r="C8" s="1"/>
      <c r="D8" s="1"/>
      <c r="E8" s="1"/>
      <c r="F8" s="1"/>
      <c r="G8" s="1"/>
      <c r="H8" s="1"/>
      <c r="I8" s="1"/>
      <c r="J8" s="20"/>
      <c r="K8" s="20"/>
      <c r="L8" s="1"/>
      <c r="M8" s="1"/>
      <c r="S8" s="1"/>
      <c r="T8" s="115"/>
      <c r="U8" s="115"/>
      <c r="V8" s="115"/>
      <c r="W8" s="115"/>
      <c r="X8" s="20"/>
      <c r="Y8" s="20"/>
      <c r="AE8" s="1"/>
    </row>
    <row r="9" spans="1:35">
      <c r="A9" s="1"/>
      <c r="B9" s="115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U9" s="115"/>
      <c r="W9" s="115"/>
    </row>
    <row r="10" spans="1:35">
      <c r="A10" s="1"/>
      <c r="B10" s="115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U10" s="115"/>
      <c r="W10" s="115"/>
    </row>
    <row r="11" spans="1:35">
      <c r="A11" s="1"/>
      <c r="B11" s="115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U11" s="115"/>
      <c r="W11" s="115"/>
    </row>
    <row r="12" spans="1:35">
      <c r="A12" s="1"/>
      <c r="B12" s="115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U12" s="115"/>
      <c r="W12" s="115"/>
    </row>
    <row r="13" spans="1:3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3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3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P17" s="1"/>
      <c r="Q17" s="1"/>
      <c r="S17" s="1"/>
      <c r="Z17" s="1"/>
      <c r="AA17" s="1"/>
      <c r="AB17" s="1"/>
      <c r="AC17" s="1"/>
      <c r="AD17" s="1"/>
      <c r="AE17" s="1"/>
    </row>
    <row r="18" spans="1:3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3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3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3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3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3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3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3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3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3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3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3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1:3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1:3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</row>
    <row r="32" spans="1:3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</row>
    <row r="33" spans="1:1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</row>
    <row r="34" spans="1:1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</sheetData>
  <mergeCells count="3">
    <mergeCell ref="A1:D1"/>
    <mergeCell ref="E1:R1"/>
    <mergeCell ref="S1:Z1"/>
  </mergeCells>
  <dataValidations count="1">
    <dataValidation type="list" allowBlank="1" showInputMessage="1" showErrorMessage="1" sqref="N16 N18:N34">
      <formula1>"NORMAL,DISCOUNTED,FOC"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15"/>
  <dimension ref="A1:F112"/>
  <sheetViews>
    <sheetView topLeftCell="A70" zoomScale="90" zoomScaleNormal="90" workbookViewId="0">
      <selection activeCell="B48" sqref="B48"/>
    </sheetView>
  </sheetViews>
  <sheetFormatPr defaultRowHeight="15"/>
  <cols>
    <col min="1" max="1" width="12" customWidth="1"/>
    <col min="2" max="2" width="68.140625" bestFit="1" customWidth="1"/>
    <col min="3" max="3" width="8.7109375" bestFit="1" customWidth="1"/>
    <col min="4" max="4" width="12.42578125" customWidth="1"/>
    <col min="5" max="5" width="18.28515625" customWidth="1"/>
    <col min="6" max="6" width="17.42578125" customWidth="1"/>
  </cols>
  <sheetData>
    <row r="1" spans="1:6">
      <c r="A1" t="s">
        <v>479</v>
      </c>
      <c r="B1" t="s">
        <v>480</v>
      </c>
      <c r="C1" t="s">
        <v>481</v>
      </c>
      <c r="D1" s="172" t="s">
        <v>482</v>
      </c>
      <c r="E1" s="173" t="s">
        <v>483</v>
      </c>
      <c r="F1" s="173" t="s">
        <v>484</v>
      </c>
    </row>
    <row r="2" spans="1:6">
      <c r="A2" t="s">
        <v>517</v>
      </c>
      <c r="B2" t="s">
        <v>518</v>
      </c>
      <c r="C2" t="s">
        <v>485</v>
      </c>
      <c r="D2" s="172">
        <v>398</v>
      </c>
      <c r="E2" s="173">
        <v>0</v>
      </c>
      <c r="F2" s="173">
        <v>0</v>
      </c>
    </row>
    <row r="3" spans="1:6">
      <c r="A3" t="s">
        <v>519</v>
      </c>
      <c r="B3" t="s">
        <v>520</v>
      </c>
      <c r="C3" t="s">
        <v>485</v>
      </c>
      <c r="D3" s="172">
        <v>0</v>
      </c>
      <c r="E3" s="173">
        <v>3.72</v>
      </c>
      <c r="F3" s="173">
        <v>0</v>
      </c>
    </row>
    <row r="4" spans="1:6">
      <c r="A4" t="s">
        <v>180</v>
      </c>
      <c r="B4" t="s">
        <v>181</v>
      </c>
      <c r="C4" t="s">
        <v>485</v>
      </c>
      <c r="D4" s="172">
        <v>9572</v>
      </c>
      <c r="E4" s="173">
        <v>1.1599999999999999</v>
      </c>
      <c r="F4" s="173">
        <v>11103.52</v>
      </c>
    </row>
    <row r="5" spans="1:6">
      <c r="A5" t="s">
        <v>182</v>
      </c>
      <c r="B5" t="s">
        <v>183</v>
      </c>
      <c r="C5" t="s">
        <v>485</v>
      </c>
      <c r="D5" s="172">
        <v>9823</v>
      </c>
      <c r="E5" s="173">
        <v>1.1599999999999999</v>
      </c>
      <c r="F5" s="173">
        <v>11394.68</v>
      </c>
    </row>
    <row r="6" spans="1:6">
      <c r="A6" t="s">
        <v>184</v>
      </c>
      <c r="B6" t="s">
        <v>185</v>
      </c>
      <c r="C6" t="s">
        <v>485</v>
      </c>
      <c r="D6" s="172">
        <v>9828</v>
      </c>
      <c r="E6" s="173">
        <v>1.1599999999999999</v>
      </c>
      <c r="F6" s="173">
        <v>11400.48</v>
      </c>
    </row>
    <row r="7" spans="1:6">
      <c r="A7" t="s">
        <v>186</v>
      </c>
      <c r="B7" t="s">
        <v>187</v>
      </c>
      <c r="C7" t="s">
        <v>485</v>
      </c>
      <c r="D7" s="172">
        <v>9401</v>
      </c>
      <c r="E7" s="173">
        <v>1.1599999999999999</v>
      </c>
      <c r="F7" s="173">
        <v>10905.16</v>
      </c>
    </row>
    <row r="8" spans="1:6">
      <c r="A8" t="s">
        <v>111</v>
      </c>
      <c r="B8" t="s">
        <v>112</v>
      </c>
      <c r="C8" t="s">
        <v>485</v>
      </c>
      <c r="D8" s="172">
        <v>13057</v>
      </c>
      <c r="E8" s="173">
        <v>5</v>
      </c>
      <c r="F8" s="173">
        <v>65285</v>
      </c>
    </row>
    <row r="9" spans="1:6">
      <c r="A9" t="s">
        <v>113</v>
      </c>
      <c r="B9" t="s">
        <v>114</v>
      </c>
      <c r="C9" t="s">
        <v>485</v>
      </c>
      <c r="D9" s="172">
        <v>12936</v>
      </c>
      <c r="E9" s="173">
        <v>5</v>
      </c>
      <c r="F9" s="173">
        <v>64680</v>
      </c>
    </row>
    <row r="10" spans="1:6">
      <c r="A10" t="s">
        <v>115</v>
      </c>
      <c r="B10" t="s">
        <v>116</v>
      </c>
      <c r="C10" t="s">
        <v>485</v>
      </c>
      <c r="D10" s="172">
        <v>12592</v>
      </c>
      <c r="E10" s="173">
        <v>5</v>
      </c>
      <c r="F10" s="173">
        <v>62960</v>
      </c>
    </row>
    <row r="11" spans="1:6">
      <c r="A11" t="s">
        <v>117</v>
      </c>
      <c r="B11" t="s">
        <v>118</v>
      </c>
      <c r="C11" t="s">
        <v>485</v>
      </c>
      <c r="D11" s="172">
        <v>9822</v>
      </c>
      <c r="E11" s="173">
        <v>5</v>
      </c>
      <c r="F11" s="173">
        <v>49110</v>
      </c>
    </row>
    <row r="12" spans="1:6">
      <c r="A12" t="s">
        <v>73</v>
      </c>
      <c r="B12" t="s">
        <v>76</v>
      </c>
      <c r="C12" t="s">
        <v>485</v>
      </c>
      <c r="D12" s="172">
        <v>24</v>
      </c>
      <c r="E12" s="173">
        <v>4</v>
      </c>
      <c r="F12" s="173">
        <v>96</v>
      </c>
    </row>
    <row r="13" spans="1:6">
      <c r="A13" t="s">
        <v>78</v>
      </c>
      <c r="B13" t="s">
        <v>79</v>
      </c>
      <c r="C13" t="s">
        <v>485</v>
      </c>
      <c r="D13" s="172">
        <v>0</v>
      </c>
      <c r="E13" s="173">
        <v>4</v>
      </c>
      <c r="F13" s="173">
        <v>0</v>
      </c>
    </row>
    <row r="14" spans="1:6">
      <c r="A14" t="s">
        <v>80</v>
      </c>
      <c r="B14" t="s">
        <v>81</v>
      </c>
      <c r="C14" t="s">
        <v>485</v>
      </c>
      <c r="D14" s="172">
        <v>0</v>
      </c>
      <c r="E14" s="173">
        <v>4</v>
      </c>
      <c r="F14" s="173">
        <v>0</v>
      </c>
    </row>
    <row r="15" spans="1:6">
      <c r="A15" t="s">
        <v>82</v>
      </c>
      <c r="B15" t="s">
        <v>83</v>
      </c>
      <c r="C15" t="s">
        <v>485</v>
      </c>
      <c r="D15" s="172">
        <v>301</v>
      </c>
      <c r="E15" s="173">
        <v>4</v>
      </c>
      <c r="F15" s="173">
        <v>1204</v>
      </c>
    </row>
    <row r="16" spans="1:6">
      <c r="A16" t="s">
        <v>169</v>
      </c>
      <c r="B16" t="s">
        <v>172</v>
      </c>
      <c r="C16" t="s">
        <v>485</v>
      </c>
      <c r="D16" s="172">
        <v>19498</v>
      </c>
      <c r="E16" s="173">
        <v>0.81599999999999995</v>
      </c>
      <c r="F16" s="173">
        <v>15910.36</v>
      </c>
    </row>
    <row r="17" spans="1:6">
      <c r="A17" t="s">
        <v>174</v>
      </c>
      <c r="B17" t="s">
        <v>175</v>
      </c>
      <c r="C17" t="s">
        <v>485</v>
      </c>
      <c r="D17" s="172">
        <v>25051</v>
      </c>
      <c r="E17" s="173">
        <v>0.81499999999999995</v>
      </c>
      <c r="F17" s="173">
        <v>20441.36</v>
      </c>
    </row>
    <row r="18" spans="1:6">
      <c r="A18" t="s">
        <v>176</v>
      </c>
      <c r="B18" t="s">
        <v>177</v>
      </c>
      <c r="C18" t="s">
        <v>485</v>
      </c>
      <c r="D18" s="172">
        <v>20448</v>
      </c>
      <c r="E18" s="173">
        <v>0.81599999999999995</v>
      </c>
      <c r="F18" s="173">
        <v>16685.560000000001</v>
      </c>
    </row>
    <row r="19" spans="1:6">
      <c r="A19" t="s">
        <v>178</v>
      </c>
      <c r="B19" t="s">
        <v>179</v>
      </c>
      <c r="C19" t="s">
        <v>485</v>
      </c>
      <c r="D19" s="172">
        <v>23767</v>
      </c>
      <c r="E19" s="173">
        <v>0.81499999999999995</v>
      </c>
      <c r="F19" s="173">
        <v>19393.63</v>
      </c>
    </row>
    <row r="20" spans="1:6">
      <c r="A20" t="s">
        <v>84</v>
      </c>
      <c r="B20" t="s">
        <v>85</v>
      </c>
      <c r="C20" t="s">
        <v>485</v>
      </c>
      <c r="D20" s="172">
        <v>0</v>
      </c>
      <c r="E20" s="173">
        <v>4.0049999999999999</v>
      </c>
      <c r="F20" s="173">
        <v>0</v>
      </c>
    </row>
    <row r="21" spans="1:6">
      <c r="A21" t="s">
        <v>86</v>
      </c>
      <c r="B21" t="s">
        <v>87</v>
      </c>
      <c r="C21" t="s">
        <v>485</v>
      </c>
      <c r="D21" s="172">
        <v>49</v>
      </c>
      <c r="E21" s="173">
        <v>4</v>
      </c>
      <c r="F21" s="173">
        <v>196</v>
      </c>
    </row>
    <row r="22" spans="1:6">
      <c r="A22" t="s">
        <v>88</v>
      </c>
      <c r="B22" t="s">
        <v>89</v>
      </c>
      <c r="C22" t="s">
        <v>485</v>
      </c>
      <c r="D22" s="172">
        <v>9</v>
      </c>
      <c r="E22" s="173">
        <v>4.45</v>
      </c>
      <c r="F22" s="173">
        <v>40.049999999999997</v>
      </c>
    </row>
    <row r="23" spans="1:6">
      <c r="A23" t="s">
        <v>90</v>
      </c>
      <c r="B23" t="s">
        <v>91</v>
      </c>
      <c r="C23" t="s">
        <v>485</v>
      </c>
      <c r="D23" s="172">
        <v>0</v>
      </c>
      <c r="E23" s="173">
        <v>4.45</v>
      </c>
      <c r="F23" s="173">
        <v>0</v>
      </c>
    </row>
    <row r="24" spans="1:6">
      <c r="A24" t="s">
        <v>119</v>
      </c>
      <c r="B24" t="s">
        <v>120</v>
      </c>
      <c r="C24" t="s">
        <v>485</v>
      </c>
      <c r="D24" s="172">
        <v>9142</v>
      </c>
      <c r="E24" s="173">
        <v>5</v>
      </c>
      <c r="F24" s="173">
        <v>45710</v>
      </c>
    </row>
    <row r="25" spans="1:6">
      <c r="A25" t="s">
        <v>121</v>
      </c>
      <c r="B25" t="s">
        <v>122</v>
      </c>
      <c r="C25" t="s">
        <v>485</v>
      </c>
      <c r="D25" s="172">
        <v>8908</v>
      </c>
      <c r="E25" s="173">
        <v>5</v>
      </c>
      <c r="F25" s="173">
        <v>44540</v>
      </c>
    </row>
    <row r="26" spans="1:6">
      <c r="A26" t="s">
        <v>123</v>
      </c>
      <c r="B26" t="s">
        <v>124</v>
      </c>
      <c r="C26" t="s">
        <v>485</v>
      </c>
      <c r="D26" s="172">
        <v>6410</v>
      </c>
      <c r="E26" s="173">
        <v>5</v>
      </c>
      <c r="F26" s="173">
        <v>32050</v>
      </c>
    </row>
    <row r="27" spans="1:6">
      <c r="A27" t="s">
        <v>125</v>
      </c>
      <c r="B27" t="s">
        <v>126</v>
      </c>
      <c r="C27" t="s">
        <v>485</v>
      </c>
      <c r="D27" s="172">
        <v>6478</v>
      </c>
      <c r="E27" s="173">
        <v>5</v>
      </c>
      <c r="F27" s="173">
        <v>32390</v>
      </c>
    </row>
    <row r="28" spans="1:6">
      <c r="A28" t="s">
        <v>127</v>
      </c>
      <c r="B28" t="s">
        <v>129</v>
      </c>
      <c r="C28" t="s">
        <v>485</v>
      </c>
      <c r="D28" s="172">
        <v>5041</v>
      </c>
      <c r="E28" s="173">
        <v>11.68</v>
      </c>
      <c r="F28" s="173">
        <v>58878.879999999997</v>
      </c>
    </row>
    <row r="29" spans="1:6">
      <c r="A29" t="s">
        <v>130</v>
      </c>
      <c r="B29" t="s">
        <v>131</v>
      </c>
      <c r="C29" t="s">
        <v>485</v>
      </c>
      <c r="D29" s="172">
        <v>1535</v>
      </c>
      <c r="E29" s="173">
        <v>11.68</v>
      </c>
      <c r="F29" s="173">
        <v>17928.8</v>
      </c>
    </row>
    <row r="30" spans="1:6">
      <c r="A30" t="s">
        <v>132</v>
      </c>
      <c r="B30" t="s">
        <v>133</v>
      </c>
      <c r="C30" t="s">
        <v>485</v>
      </c>
      <c r="D30" s="172">
        <v>1665</v>
      </c>
      <c r="E30" s="173">
        <v>11.68</v>
      </c>
      <c r="F30" s="173">
        <v>19447.2</v>
      </c>
    </row>
    <row r="31" spans="1:6">
      <c r="A31" t="s">
        <v>134</v>
      </c>
      <c r="B31" t="s">
        <v>135</v>
      </c>
      <c r="C31" t="s">
        <v>485</v>
      </c>
      <c r="D31" s="172">
        <v>5724</v>
      </c>
      <c r="E31" s="173">
        <v>11.68</v>
      </c>
      <c r="F31" s="173">
        <v>66856.320000000007</v>
      </c>
    </row>
    <row r="32" spans="1:6">
      <c r="A32" t="s">
        <v>136</v>
      </c>
      <c r="B32" t="s">
        <v>137</v>
      </c>
      <c r="C32" t="s">
        <v>485</v>
      </c>
      <c r="D32" s="172">
        <v>865</v>
      </c>
      <c r="E32" s="173">
        <v>11.68</v>
      </c>
      <c r="F32" s="173">
        <v>10103.200000000001</v>
      </c>
    </row>
    <row r="33" spans="1:6">
      <c r="A33" t="s">
        <v>138</v>
      </c>
      <c r="B33" t="s">
        <v>139</v>
      </c>
      <c r="C33" t="s">
        <v>485</v>
      </c>
      <c r="D33" s="172">
        <v>576</v>
      </c>
      <c r="E33" s="173">
        <v>11.68</v>
      </c>
      <c r="F33" s="173">
        <v>6727.68</v>
      </c>
    </row>
    <row r="34" spans="1:6">
      <c r="A34" t="s">
        <v>140</v>
      </c>
      <c r="B34" t="s">
        <v>141</v>
      </c>
      <c r="C34" t="s">
        <v>485</v>
      </c>
      <c r="D34" s="172">
        <v>1979</v>
      </c>
      <c r="E34" s="173">
        <v>11.68</v>
      </c>
      <c r="F34" s="173">
        <v>23114.720000000001</v>
      </c>
    </row>
    <row r="35" spans="1:6">
      <c r="A35" t="s">
        <v>142</v>
      </c>
      <c r="B35" t="s">
        <v>143</v>
      </c>
      <c r="C35" t="s">
        <v>485</v>
      </c>
      <c r="D35" s="172">
        <v>2589</v>
      </c>
      <c r="E35" s="173">
        <v>11.68</v>
      </c>
      <c r="F35" s="173">
        <v>30239.52</v>
      </c>
    </row>
    <row r="36" spans="1:6">
      <c r="A36" t="s">
        <v>895</v>
      </c>
      <c r="B36" t="s">
        <v>896</v>
      </c>
      <c r="C36" t="s">
        <v>485</v>
      </c>
      <c r="D36" s="172">
        <v>0</v>
      </c>
      <c r="E36" s="173">
        <v>4.21</v>
      </c>
      <c r="F36" s="173">
        <v>0</v>
      </c>
    </row>
    <row r="37" spans="1:6">
      <c r="A37" t="s">
        <v>897</v>
      </c>
      <c r="B37" t="s">
        <v>898</v>
      </c>
      <c r="C37" t="s">
        <v>485</v>
      </c>
      <c r="D37" s="172">
        <v>0</v>
      </c>
      <c r="E37" s="173">
        <v>4.21</v>
      </c>
      <c r="F37" s="173">
        <v>0</v>
      </c>
    </row>
    <row r="38" spans="1:6">
      <c r="A38" t="s">
        <v>899</v>
      </c>
      <c r="B38" t="s">
        <v>900</v>
      </c>
      <c r="C38" t="s">
        <v>485</v>
      </c>
      <c r="D38" s="172">
        <v>0</v>
      </c>
      <c r="E38" s="173">
        <v>4.21</v>
      </c>
      <c r="F38" s="173">
        <v>0</v>
      </c>
    </row>
    <row r="39" spans="1:6">
      <c r="A39" t="s">
        <v>901</v>
      </c>
      <c r="B39" t="s">
        <v>902</v>
      </c>
      <c r="C39" t="s">
        <v>485</v>
      </c>
      <c r="D39" s="172">
        <v>0</v>
      </c>
      <c r="E39" s="173">
        <v>4.21</v>
      </c>
      <c r="F39" s="173">
        <v>0</v>
      </c>
    </row>
    <row r="40" spans="1:6">
      <c r="A40" t="s">
        <v>903</v>
      </c>
      <c r="B40" t="s">
        <v>904</v>
      </c>
      <c r="C40" t="s">
        <v>485</v>
      </c>
      <c r="D40" s="172">
        <v>0</v>
      </c>
      <c r="E40" s="173">
        <v>4.21</v>
      </c>
      <c r="F40" s="173">
        <v>0</v>
      </c>
    </row>
    <row r="41" spans="1:6">
      <c r="A41" t="s">
        <v>905</v>
      </c>
      <c r="B41" t="s">
        <v>906</v>
      </c>
      <c r="C41" t="s">
        <v>485</v>
      </c>
      <c r="D41" s="172">
        <v>0</v>
      </c>
      <c r="E41" s="173">
        <v>4.21</v>
      </c>
      <c r="F41" s="173">
        <v>0</v>
      </c>
    </row>
    <row r="42" spans="1:6">
      <c r="A42" t="s">
        <v>907</v>
      </c>
      <c r="B42" t="s">
        <v>908</v>
      </c>
      <c r="C42" t="s">
        <v>485</v>
      </c>
      <c r="D42" s="172">
        <v>0</v>
      </c>
      <c r="E42" s="173">
        <v>4.21</v>
      </c>
      <c r="F42" s="173">
        <v>0</v>
      </c>
    </row>
    <row r="43" spans="1:6">
      <c r="A43" t="s">
        <v>909</v>
      </c>
      <c r="B43" t="s">
        <v>910</v>
      </c>
      <c r="C43" t="s">
        <v>485</v>
      </c>
      <c r="D43" s="172">
        <v>0</v>
      </c>
      <c r="E43" s="173">
        <v>4.21</v>
      </c>
      <c r="F43" s="173">
        <v>0</v>
      </c>
    </row>
    <row r="44" spans="1:6">
      <c r="A44" t="s">
        <v>161</v>
      </c>
      <c r="B44" t="s">
        <v>162</v>
      </c>
      <c r="C44" t="s">
        <v>485</v>
      </c>
      <c r="D44" s="172">
        <v>1767</v>
      </c>
      <c r="E44" s="173">
        <v>11.68</v>
      </c>
      <c r="F44" s="173">
        <v>20638.560000000001</v>
      </c>
    </row>
    <row r="45" spans="1:6">
      <c r="A45" t="s">
        <v>163</v>
      </c>
      <c r="B45" t="s">
        <v>164</v>
      </c>
      <c r="C45" t="s">
        <v>485</v>
      </c>
      <c r="D45" s="172">
        <v>1474</v>
      </c>
      <c r="E45" s="173">
        <v>11.68</v>
      </c>
      <c r="F45" s="173">
        <v>17216.32</v>
      </c>
    </row>
    <row r="46" spans="1:6">
      <c r="A46" t="s">
        <v>201</v>
      </c>
      <c r="B46" t="s">
        <v>203</v>
      </c>
      <c r="C46" t="s">
        <v>485</v>
      </c>
      <c r="D46" s="172">
        <v>0</v>
      </c>
      <c r="E46" s="173">
        <v>0.93</v>
      </c>
      <c r="F46" s="173">
        <v>0</v>
      </c>
    </row>
    <row r="47" spans="1:6">
      <c r="A47" t="s">
        <v>204</v>
      </c>
      <c r="B47" t="s">
        <v>205</v>
      </c>
      <c r="C47" t="s">
        <v>485</v>
      </c>
      <c r="D47" s="172">
        <v>0</v>
      </c>
      <c r="E47" s="173">
        <v>0.93</v>
      </c>
      <c r="F47" s="173">
        <v>0</v>
      </c>
    </row>
    <row r="48" spans="1:6">
      <c r="A48" t="s">
        <v>206</v>
      </c>
      <c r="B48" t="s">
        <v>207</v>
      </c>
      <c r="C48" t="s">
        <v>485</v>
      </c>
      <c r="D48" s="172">
        <v>0</v>
      </c>
      <c r="E48" s="173">
        <v>0.93</v>
      </c>
      <c r="F48" s="173">
        <v>0</v>
      </c>
    </row>
    <row r="49" spans="1:6">
      <c r="A49" t="s">
        <v>208</v>
      </c>
      <c r="B49" t="s">
        <v>209</v>
      </c>
      <c r="C49" t="s">
        <v>485</v>
      </c>
      <c r="D49" s="172">
        <v>0</v>
      </c>
      <c r="E49" s="173">
        <v>0.93</v>
      </c>
      <c r="F49" s="173">
        <v>0</v>
      </c>
    </row>
    <row r="50" spans="1:6">
      <c r="A50" t="s">
        <v>521</v>
      </c>
      <c r="B50" t="s">
        <v>522</v>
      </c>
      <c r="C50" t="s">
        <v>485</v>
      </c>
      <c r="D50" s="172">
        <v>0</v>
      </c>
      <c r="E50" s="173">
        <v>1.03</v>
      </c>
      <c r="F50" s="173">
        <v>0</v>
      </c>
    </row>
    <row r="51" spans="1:6">
      <c r="A51" t="s">
        <v>523</v>
      </c>
      <c r="B51" t="s">
        <v>524</v>
      </c>
      <c r="C51" t="s">
        <v>485</v>
      </c>
      <c r="D51" s="172">
        <v>0</v>
      </c>
      <c r="E51" s="173">
        <v>0.95799999999999996</v>
      </c>
      <c r="F51" s="173">
        <v>0</v>
      </c>
    </row>
    <row r="52" spans="1:6">
      <c r="A52" t="s">
        <v>525</v>
      </c>
      <c r="B52" t="s">
        <v>526</v>
      </c>
      <c r="C52" t="s">
        <v>485</v>
      </c>
      <c r="D52" s="172">
        <v>0</v>
      </c>
      <c r="E52" s="173">
        <v>0.93</v>
      </c>
      <c r="F52" s="173">
        <v>0</v>
      </c>
    </row>
    <row r="53" spans="1:6">
      <c r="A53" t="s">
        <v>527</v>
      </c>
      <c r="B53" t="s">
        <v>528</v>
      </c>
      <c r="C53" t="s">
        <v>485</v>
      </c>
      <c r="D53" s="172">
        <v>0</v>
      </c>
      <c r="E53" s="173">
        <v>0.93</v>
      </c>
      <c r="F53" s="173">
        <v>0</v>
      </c>
    </row>
    <row r="54" spans="1:6">
      <c r="A54" t="s">
        <v>188</v>
      </c>
      <c r="B54" t="s">
        <v>191</v>
      </c>
      <c r="C54" t="s">
        <v>485</v>
      </c>
      <c r="D54" s="172">
        <v>2970</v>
      </c>
      <c r="E54" s="173">
        <v>2.0499999999999998</v>
      </c>
      <c r="F54" s="173">
        <v>6088.5</v>
      </c>
    </row>
    <row r="55" spans="1:6">
      <c r="A55" t="s">
        <v>193</v>
      </c>
      <c r="B55" t="s">
        <v>194</v>
      </c>
      <c r="C55" t="s">
        <v>485</v>
      </c>
      <c r="D55" s="172">
        <v>666</v>
      </c>
      <c r="E55" s="173">
        <v>2.0499999999999998</v>
      </c>
      <c r="F55" s="173">
        <v>1365.3</v>
      </c>
    </row>
    <row r="56" spans="1:6">
      <c r="A56" t="s">
        <v>195</v>
      </c>
      <c r="B56" t="s">
        <v>196</v>
      </c>
      <c r="C56" t="s">
        <v>485</v>
      </c>
      <c r="D56" s="172">
        <v>422</v>
      </c>
      <c r="E56" s="173">
        <v>2.0499999999999998</v>
      </c>
      <c r="F56" s="173">
        <v>865.1</v>
      </c>
    </row>
    <row r="57" spans="1:6">
      <c r="A57" t="s">
        <v>197</v>
      </c>
      <c r="B57" t="s">
        <v>198</v>
      </c>
      <c r="C57" t="s">
        <v>485</v>
      </c>
      <c r="D57" s="172">
        <v>618</v>
      </c>
      <c r="E57" s="173">
        <v>2.0499999999999998</v>
      </c>
      <c r="F57" s="173">
        <v>1266.9000000000001</v>
      </c>
    </row>
    <row r="58" spans="1:6">
      <c r="A58" t="s">
        <v>144</v>
      </c>
      <c r="B58" t="s">
        <v>146</v>
      </c>
      <c r="C58" t="s">
        <v>485</v>
      </c>
      <c r="D58" s="172">
        <v>0</v>
      </c>
      <c r="E58" s="173">
        <v>6.3280000000000003</v>
      </c>
      <c r="F58" s="173">
        <v>0</v>
      </c>
    </row>
    <row r="59" spans="1:6">
      <c r="A59" t="s">
        <v>147</v>
      </c>
      <c r="B59" t="s">
        <v>148</v>
      </c>
      <c r="C59" t="s">
        <v>485</v>
      </c>
      <c r="D59" s="172">
        <v>9</v>
      </c>
      <c r="E59" s="173">
        <v>6.3289999999999997</v>
      </c>
      <c r="F59" s="173">
        <v>56.96</v>
      </c>
    </row>
    <row r="60" spans="1:6">
      <c r="A60" t="s">
        <v>149</v>
      </c>
      <c r="B60" t="s">
        <v>150</v>
      </c>
      <c r="C60" t="s">
        <v>485</v>
      </c>
      <c r="D60" s="172">
        <v>0</v>
      </c>
      <c r="E60" s="173">
        <v>0</v>
      </c>
      <c r="F60" s="173">
        <v>0</v>
      </c>
    </row>
    <row r="61" spans="1:6">
      <c r="A61" t="s">
        <v>151</v>
      </c>
      <c r="B61" t="s">
        <v>152</v>
      </c>
      <c r="C61" t="s">
        <v>485</v>
      </c>
      <c r="D61" s="172">
        <v>41</v>
      </c>
      <c r="E61" s="173">
        <v>6.3289999999999997</v>
      </c>
      <c r="F61" s="173">
        <v>259.48</v>
      </c>
    </row>
    <row r="62" spans="1:6">
      <c r="A62" t="s">
        <v>153</v>
      </c>
      <c r="B62" t="s">
        <v>154</v>
      </c>
      <c r="C62" t="s">
        <v>485</v>
      </c>
      <c r="D62" s="172">
        <v>0</v>
      </c>
      <c r="E62" s="173">
        <v>6.3289999999999997</v>
      </c>
      <c r="F62" s="173">
        <v>0</v>
      </c>
    </row>
    <row r="63" spans="1:6">
      <c r="A63" t="s">
        <v>155</v>
      </c>
      <c r="B63" t="s">
        <v>156</v>
      </c>
      <c r="C63" t="s">
        <v>485</v>
      </c>
      <c r="D63" s="172">
        <v>0</v>
      </c>
      <c r="E63" s="173">
        <v>0</v>
      </c>
      <c r="F63" s="173">
        <v>0</v>
      </c>
    </row>
    <row r="64" spans="1:6">
      <c r="A64" t="s">
        <v>157</v>
      </c>
      <c r="B64" t="s">
        <v>158</v>
      </c>
      <c r="C64" t="s">
        <v>485</v>
      </c>
      <c r="D64" s="172">
        <v>0</v>
      </c>
      <c r="E64" s="173">
        <v>0</v>
      </c>
      <c r="F64" s="173">
        <v>0</v>
      </c>
    </row>
    <row r="65" spans="1:6">
      <c r="A65" t="s">
        <v>159</v>
      </c>
      <c r="B65" t="s">
        <v>160</v>
      </c>
      <c r="C65" t="s">
        <v>485</v>
      </c>
      <c r="D65" s="172">
        <v>0</v>
      </c>
      <c r="E65" s="173">
        <v>6.33</v>
      </c>
      <c r="F65" s="173">
        <v>0</v>
      </c>
    </row>
    <row r="66" spans="1:6">
      <c r="A66" t="s">
        <v>165</v>
      </c>
      <c r="B66" t="s">
        <v>166</v>
      </c>
      <c r="C66" t="s">
        <v>485</v>
      </c>
      <c r="D66" s="172">
        <v>912</v>
      </c>
      <c r="E66" s="173">
        <v>6.25</v>
      </c>
      <c r="F66" s="173">
        <v>5700</v>
      </c>
    </row>
    <row r="67" spans="1:6">
      <c r="A67" t="s">
        <v>167</v>
      </c>
      <c r="B67" t="s">
        <v>911</v>
      </c>
      <c r="C67" t="s">
        <v>485</v>
      </c>
      <c r="D67" s="172">
        <v>912</v>
      </c>
      <c r="E67" s="173">
        <v>6.25</v>
      </c>
      <c r="F67" s="173">
        <v>5700</v>
      </c>
    </row>
    <row r="68" spans="1:6">
      <c r="A68" t="s">
        <v>529</v>
      </c>
      <c r="B68" t="s">
        <v>530</v>
      </c>
      <c r="C68" t="s">
        <v>485</v>
      </c>
      <c r="D68" s="172">
        <v>0</v>
      </c>
      <c r="E68" s="173">
        <v>0</v>
      </c>
      <c r="F68" s="173">
        <v>0</v>
      </c>
    </row>
    <row r="69" spans="1:6">
      <c r="A69" t="s">
        <v>531</v>
      </c>
      <c r="B69" t="s">
        <v>532</v>
      </c>
      <c r="C69" t="s">
        <v>485</v>
      </c>
      <c r="D69" s="172">
        <v>0</v>
      </c>
      <c r="E69" s="173">
        <v>0</v>
      </c>
      <c r="F69" s="173">
        <v>0</v>
      </c>
    </row>
    <row r="70" spans="1:6">
      <c r="A70" t="s">
        <v>533</v>
      </c>
      <c r="B70" t="s">
        <v>534</v>
      </c>
      <c r="C70" t="s">
        <v>485</v>
      </c>
      <c r="D70" s="172">
        <v>0</v>
      </c>
      <c r="E70" s="173">
        <v>0</v>
      </c>
      <c r="F70" s="173">
        <v>0</v>
      </c>
    </row>
    <row r="71" spans="1:6">
      <c r="A71" t="s">
        <v>535</v>
      </c>
      <c r="B71" t="s">
        <v>536</v>
      </c>
      <c r="C71" t="s">
        <v>485</v>
      </c>
      <c r="D71" s="172">
        <v>0</v>
      </c>
      <c r="E71" s="173">
        <v>0</v>
      </c>
      <c r="F71" s="173">
        <v>0</v>
      </c>
    </row>
    <row r="72" spans="1:6">
      <c r="A72" t="s">
        <v>92</v>
      </c>
      <c r="B72" t="s">
        <v>93</v>
      </c>
      <c r="C72" t="s">
        <v>485</v>
      </c>
      <c r="D72" s="172">
        <v>100</v>
      </c>
      <c r="E72" s="173">
        <v>0</v>
      </c>
      <c r="F72" s="173">
        <v>0</v>
      </c>
    </row>
    <row r="73" spans="1:6">
      <c r="A73" t="s">
        <v>94</v>
      </c>
      <c r="B73" t="s">
        <v>95</v>
      </c>
      <c r="C73" t="s">
        <v>485</v>
      </c>
      <c r="D73" s="172">
        <v>250</v>
      </c>
      <c r="E73" s="173">
        <v>0</v>
      </c>
      <c r="F73" s="173">
        <v>0</v>
      </c>
    </row>
    <row r="74" spans="1:6">
      <c r="A74" t="s">
        <v>96</v>
      </c>
      <c r="B74" t="s">
        <v>97</v>
      </c>
      <c r="C74" t="s">
        <v>485</v>
      </c>
      <c r="D74" s="172">
        <v>60</v>
      </c>
      <c r="E74" s="173">
        <v>0</v>
      </c>
      <c r="F74" s="173">
        <v>0</v>
      </c>
    </row>
    <row r="75" spans="1:6">
      <c r="A75" t="s">
        <v>98</v>
      </c>
      <c r="B75" t="s">
        <v>99</v>
      </c>
      <c r="C75" t="s">
        <v>485</v>
      </c>
      <c r="D75" s="172">
        <v>250</v>
      </c>
      <c r="E75" s="173">
        <v>0</v>
      </c>
      <c r="F75" s="173">
        <v>0</v>
      </c>
    </row>
    <row r="76" spans="1:6">
      <c r="A76" t="s">
        <v>36</v>
      </c>
      <c r="B76" t="s">
        <v>39</v>
      </c>
      <c r="C76" t="s">
        <v>485</v>
      </c>
      <c r="D76" s="172">
        <v>398</v>
      </c>
      <c r="E76" s="173">
        <v>5.23</v>
      </c>
      <c r="F76" s="173">
        <v>2081.54</v>
      </c>
    </row>
    <row r="77" spans="1:6">
      <c r="A77" t="s">
        <v>42</v>
      </c>
      <c r="B77" t="s">
        <v>43</v>
      </c>
      <c r="C77" t="s">
        <v>485</v>
      </c>
      <c r="D77" s="172">
        <v>243</v>
      </c>
      <c r="E77" s="173">
        <v>5.23</v>
      </c>
      <c r="F77" s="173">
        <v>1270.8900000000001</v>
      </c>
    </row>
    <row r="78" spans="1:6">
      <c r="A78" t="s">
        <v>44</v>
      </c>
      <c r="B78" t="s">
        <v>45</v>
      </c>
      <c r="C78" t="s">
        <v>485</v>
      </c>
      <c r="D78" s="172">
        <v>437</v>
      </c>
      <c r="E78" s="173">
        <v>5.23</v>
      </c>
      <c r="F78" s="173">
        <v>2285.5100000000002</v>
      </c>
    </row>
    <row r="79" spans="1:6">
      <c r="A79" t="s">
        <v>46</v>
      </c>
      <c r="B79" t="s">
        <v>47</v>
      </c>
      <c r="C79" t="s">
        <v>485</v>
      </c>
      <c r="D79" s="172">
        <v>437</v>
      </c>
      <c r="E79" s="173">
        <v>5.23</v>
      </c>
      <c r="F79" s="173">
        <v>2285.5100000000002</v>
      </c>
    </row>
    <row r="80" spans="1:6">
      <c r="A80" t="s">
        <v>48</v>
      </c>
      <c r="B80" t="s">
        <v>50</v>
      </c>
      <c r="C80" t="s">
        <v>485</v>
      </c>
      <c r="D80" s="172">
        <v>471</v>
      </c>
      <c r="E80" s="173">
        <v>5.23</v>
      </c>
      <c r="F80" s="173">
        <v>2463.33</v>
      </c>
    </row>
    <row r="81" spans="1:6">
      <c r="A81" t="s">
        <v>51</v>
      </c>
      <c r="B81" t="s">
        <v>52</v>
      </c>
      <c r="C81" t="s">
        <v>485</v>
      </c>
      <c r="D81" s="172">
        <v>303</v>
      </c>
      <c r="E81" s="173">
        <v>5.23</v>
      </c>
      <c r="F81" s="173">
        <v>1584.69</v>
      </c>
    </row>
    <row r="82" spans="1:6">
      <c r="A82" t="s">
        <v>53</v>
      </c>
      <c r="B82" t="s">
        <v>54</v>
      </c>
      <c r="C82" t="s">
        <v>485</v>
      </c>
      <c r="D82" s="172">
        <v>497</v>
      </c>
      <c r="E82" s="173">
        <v>5.23</v>
      </c>
      <c r="F82" s="173">
        <v>2599.31</v>
      </c>
    </row>
    <row r="83" spans="1:6">
      <c r="A83" t="s">
        <v>55</v>
      </c>
      <c r="B83" t="s">
        <v>56</v>
      </c>
      <c r="C83" t="s">
        <v>485</v>
      </c>
      <c r="D83" s="172">
        <v>520</v>
      </c>
      <c r="E83" s="173">
        <v>5.23</v>
      </c>
      <c r="F83" s="173">
        <v>2719.6</v>
      </c>
    </row>
    <row r="84" spans="1:6">
      <c r="A84" t="s">
        <v>100</v>
      </c>
      <c r="B84" t="s">
        <v>101</v>
      </c>
      <c r="C84" t="s">
        <v>485</v>
      </c>
      <c r="D84" s="172">
        <v>40</v>
      </c>
      <c r="E84" s="173">
        <v>0</v>
      </c>
      <c r="F84" s="173">
        <v>0</v>
      </c>
    </row>
    <row r="85" spans="1:6">
      <c r="A85" t="s">
        <v>102</v>
      </c>
      <c r="B85" t="s">
        <v>103</v>
      </c>
      <c r="C85" t="s">
        <v>485</v>
      </c>
      <c r="D85" s="172">
        <v>0</v>
      </c>
      <c r="E85" s="173">
        <v>0</v>
      </c>
      <c r="F85" s="173">
        <v>0</v>
      </c>
    </row>
    <row r="86" spans="1:6">
      <c r="A86" t="s">
        <v>104</v>
      </c>
      <c r="B86" t="s">
        <v>105</v>
      </c>
      <c r="C86" t="s">
        <v>485</v>
      </c>
      <c r="D86" s="172">
        <v>0</v>
      </c>
      <c r="E86" s="173">
        <v>0</v>
      </c>
      <c r="F86" s="173">
        <v>0</v>
      </c>
    </row>
    <row r="87" spans="1:6">
      <c r="A87" t="s">
        <v>106</v>
      </c>
      <c r="B87" t="s">
        <v>107</v>
      </c>
      <c r="C87" t="s">
        <v>485</v>
      </c>
      <c r="D87" s="172">
        <v>0</v>
      </c>
      <c r="E87" s="173">
        <v>0</v>
      </c>
      <c r="F87" s="173">
        <v>0</v>
      </c>
    </row>
    <row r="88" spans="1:6">
      <c r="A88" t="s">
        <v>486</v>
      </c>
      <c r="B88" t="s">
        <v>487</v>
      </c>
      <c r="C88" t="s">
        <v>485</v>
      </c>
      <c r="D88" s="172">
        <v>0</v>
      </c>
      <c r="E88" s="173">
        <v>4.0999999999999996</v>
      </c>
      <c r="F88" s="173">
        <v>0</v>
      </c>
    </row>
    <row r="89" spans="1:6">
      <c r="A89" t="s">
        <v>488</v>
      </c>
      <c r="B89" t="s">
        <v>489</v>
      </c>
      <c r="C89" t="s">
        <v>485</v>
      </c>
      <c r="D89" s="172">
        <v>0</v>
      </c>
      <c r="E89" s="173">
        <v>4.0999999999999996</v>
      </c>
      <c r="F89" s="173">
        <v>0</v>
      </c>
    </row>
    <row r="90" spans="1:6">
      <c r="A90" t="s">
        <v>57</v>
      </c>
      <c r="B90" t="s">
        <v>490</v>
      </c>
      <c r="C90" t="s">
        <v>485</v>
      </c>
      <c r="D90" s="172">
        <v>309</v>
      </c>
      <c r="E90" s="173">
        <v>6.97</v>
      </c>
      <c r="F90" s="173">
        <v>2153.73</v>
      </c>
    </row>
    <row r="91" spans="1:6">
      <c r="A91" t="s">
        <v>59</v>
      </c>
      <c r="B91" t="s">
        <v>491</v>
      </c>
      <c r="C91" t="s">
        <v>485</v>
      </c>
      <c r="D91" s="172">
        <v>298</v>
      </c>
      <c r="E91" s="173">
        <v>6.97</v>
      </c>
      <c r="F91" s="173">
        <v>2077.06</v>
      </c>
    </row>
    <row r="92" spans="1:6">
      <c r="A92" t="s">
        <v>61</v>
      </c>
      <c r="B92" t="s">
        <v>492</v>
      </c>
      <c r="C92" t="s">
        <v>485</v>
      </c>
      <c r="D92" s="172">
        <v>310</v>
      </c>
      <c r="E92" s="173">
        <v>6.97</v>
      </c>
      <c r="F92" s="173">
        <v>2160.6999999999998</v>
      </c>
    </row>
    <row r="93" spans="1:6">
      <c r="A93" t="s">
        <v>63</v>
      </c>
      <c r="B93" t="s">
        <v>493</v>
      </c>
      <c r="C93" t="s">
        <v>485</v>
      </c>
      <c r="D93" s="172">
        <v>12</v>
      </c>
      <c r="E93" s="173">
        <v>6.97</v>
      </c>
      <c r="F93" s="173">
        <v>83.64</v>
      </c>
    </row>
    <row r="94" spans="1:6">
      <c r="A94" t="s">
        <v>65</v>
      </c>
      <c r="B94" t="s">
        <v>912</v>
      </c>
      <c r="C94" t="s">
        <v>485</v>
      </c>
      <c r="D94" s="172">
        <v>11</v>
      </c>
      <c r="E94" s="173">
        <v>6.97</v>
      </c>
      <c r="F94" s="173">
        <v>76.67</v>
      </c>
    </row>
    <row r="95" spans="1:6">
      <c r="A95" t="s">
        <v>67</v>
      </c>
      <c r="B95" t="s">
        <v>494</v>
      </c>
      <c r="C95" t="s">
        <v>485</v>
      </c>
      <c r="D95" s="172">
        <v>286</v>
      </c>
      <c r="E95" s="173">
        <v>6.97</v>
      </c>
      <c r="F95" s="173">
        <v>1993.42</v>
      </c>
    </row>
    <row r="96" spans="1:6">
      <c r="A96" t="s">
        <v>69</v>
      </c>
      <c r="B96" t="s">
        <v>495</v>
      </c>
      <c r="C96" t="s">
        <v>485</v>
      </c>
      <c r="D96" s="172">
        <v>286</v>
      </c>
      <c r="E96" s="173">
        <v>6.97</v>
      </c>
      <c r="F96" s="173">
        <v>1993.42</v>
      </c>
    </row>
    <row r="97" spans="1:6">
      <c r="A97" t="s">
        <v>71</v>
      </c>
      <c r="B97" t="s">
        <v>496</v>
      </c>
      <c r="C97" t="s">
        <v>485</v>
      </c>
      <c r="D97" s="172">
        <v>334</v>
      </c>
      <c r="E97" s="173">
        <v>6.97</v>
      </c>
      <c r="F97" s="173">
        <v>2327.98</v>
      </c>
    </row>
    <row r="98" spans="1:6">
      <c r="A98" t="s">
        <v>497</v>
      </c>
      <c r="B98" t="s">
        <v>498</v>
      </c>
      <c r="C98" t="s">
        <v>485</v>
      </c>
      <c r="D98" s="172">
        <v>0</v>
      </c>
      <c r="E98" s="173">
        <v>0</v>
      </c>
      <c r="F98" s="173">
        <v>0</v>
      </c>
    </row>
    <row r="99" spans="1:6">
      <c r="A99" t="s">
        <v>499</v>
      </c>
      <c r="B99" t="s">
        <v>500</v>
      </c>
      <c r="C99" t="s">
        <v>485</v>
      </c>
      <c r="D99" s="172">
        <v>0</v>
      </c>
      <c r="E99" s="173">
        <v>0</v>
      </c>
      <c r="F99" s="173">
        <v>0</v>
      </c>
    </row>
    <row r="100" spans="1:6">
      <c r="A100" t="s">
        <v>210</v>
      </c>
      <c r="B100" t="s">
        <v>501</v>
      </c>
      <c r="C100" t="s">
        <v>485</v>
      </c>
      <c r="D100" s="172">
        <v>0</v>
      </c>
      <c r="E100" s="173">
        <v>0</v>
      </c>
      <c r="F100" s="173">
        <v>0</v>
      </c>
    </row>
    <row r="101" spans="1:6">
      <c r="A101" t="s">
        <v>212</v>
      </c>
      <c r="B101" t="s">
        <v>502</v>
      </c>
      <c r="C101" t="s">
        <v>485</v>
      </c>
      <c r="D101" s="172">
        <v>0</v>
      </c>
      <c r="E101" s="173">
        <v>0</v>
      </c>
      <c r="F101" s="173">
        <v>0</v>
      </c>
    </row>
    <row r="102" spans="1:6">
      <c r="A102" t="s">
        <v>214</v>
      </c>
      <c r="B102" t="s">
        <v>503</v>
      </c>
      <c r="C102" t="s">
        <v>485</v>
      </c>
      <c r="D102" s="172">
        <v>0</v>
      </c>
      <c r="E102" s="173">
        <v>0</v>
      </c>
      <c r="F102" s="173">
        <v>0</v>
      </c>
    </row>
    <row r="103" spans="1:6">
      <c r="A103" t="s">
        <v>216</v>
      </c>
      <c r="B103" t="s">
        <v>504</v>
      </c>
      <c r="C103" t="s">
        <v>485</v>
      </c>
      <c r="D103" s="172">
        <v>0</v>
      </c>
      <c r="E103" s="173">
        <v>0</v>
      </c>
      <c r="F103" s="173">
        <v>0</v>
      </c>
    </row>
    <row r="104" spans="1:6">
      <c r="A104" t="s">
        <v>218</v>
      </c>
      <c r="B104" t="s">
        <v>505</v>
      </c>
      <c r="C104" t="s">
        <v>485</v>
      </c>
      <c r="D104" s="172">
        <v>0</v>
      </c>
      <c r="E104" s="173">
        <v>0</v>
      </c>
      <c r="F104" s="173">
        <v>0</v>
      </c>
    </row>
    <row r="105" spans="1:6">
      <c r="A105" t="s">
        <v>220</v>
      </c>
      <c r="B105" t="s">
        <v>506</v>
      </c>
      <c r="C105" t="s">
        <v>485</v>
      </c>
      <c r="D105" s="172">
        <v>0</v>
      </c>
      <c r="E105" s="173">
        <v>0</v>
      </c>
      <c r="F105" s="173">
        <v>0</v>
      </c>
    </row>
    <row r="106" spans="1:6">
      <c r="A106" t="s">
        <v>108</v>
      </c>
      <c r="B106" t="s">
        <v>507</v>
      </c>
      <c r="C106" t="s">
        <v>485</v>
      </c>
      <c r="D106" s="172">
        <v>0</v>
      </c>
      <c r="E106" s="173">
        <v>15</v>
      </c>
      <c r="F106" s="173">
        <v>0</v>
      </c>
    </row>
    <row r="107" spans="1:6">
      <c r="A107" t="s">
        <v>508</v>
      </c>
      <c r="B107" t="s">
        <v>509</v>
      </c>
      <c r="C107" t="s">
        <v>485</v>
      </c>
      <c r="D107" s="172">
        <v>0</v>
      </c>
      <c r="E107" s="173">
        <v>0</v>
      </c>
      <c r="F107" s="173">
        <v>0</v>
      </c>
    </row>
    <row r="108" spans="1:6">
      <c r="A108" t="s">
        <v>222</v>
      </c>
      <c r="B108" t="s">
        <v>510</v>
      </c>
      <c r="C108" t="s">
        <v>485</v>
      </c>
      <c r="D108" s="172">
        <v>0</v>
      </c>
      <c r="E108" s="173">
        <v>0</v>
      </c>
      <c r="F108" s="173">
        <v>0</v>
      </c>
    </row>
    <row r="109" spans="1:6">
      <c r="A109" t="s">
        <v>224</v>
      </c>
      <c r="B109" t="s">
        <v>511</v>
      </c>
      <c r="C109" t="s">
        <v>485</v>
      </c>
      <c r="D109" s="172">
        <v>0</v>
      </c>
      <c r="E109" s="173">
        <v>0</v>
      </c>
      <c r="F109" s="173">
        <v>0</v>
      </c>
    </row>
    <row r="110" spans="1:6">
      <c r="A110" t="s">
        <v>512</v>
      </c>
      <c r="B110" t="s">
        <v>513</v>
      </c>
      <c r="C110" t="s">
        <v>485</v>
      </c>
      <c r="D110" s="172">
        <v>0</v>
      </c>
      <c r="E110" s="173">
        <v>0</v>
      </c>
      <c r="F110" s="173">
        <v>0</v>
      </c>
    </row>
    <row r="111" spans="1:6">
      <c r="A111" t="s">
        <v>514</v>
      </c>
      <c r="B111" t="s">
        <v>515</v>
      </c>
      <c r="C111" t="s">
        <v>485</v>
      </c>
      <c r="D111" s="172">
        <v>0</v>
      </c>
      <c r="E111" s="173">
        <v>0</v>
      </c>
      <c r="F111" s="173">
        <v>0</v>
      </c>
    </row>
    <row r="112" spans="1:6">
      <c r="A112" s="393" t="s">
        <v>226</v>
      </c>
      <c r="B112" s="393" t="s">
        <v>516</v>
      </c>
      <c r="C112" s="393" t="s">
        <v>485</v>
      </c>
      <c r="D112" s="394">
        <v>0</v>
      </c>
      <c r="E112" s="395">
        <v>0</v>
      </c>
      <c r="F112" s="395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18"/>
  <dimension ref="A1:X211"/>
  <sheetViews>
    <sheetView showGridLines="0" zoomScaleNormal="100" zoomScaleSheetLayoutView="100" workbookViewId="0">
      <selection activeCell="H53" sqref="H53:K53"/>
    </sheetView>
  </sheetViews>
  <sheetFormatPr defaultColWidth="8.7109375" defaultRowHeight="12.75"/>
  <cols>
    <col min="1" max="1" width="9.140625" style="211" customWidth="1"/>
    <col min="2" max="2" width="17.85546875" style="211" customWidth="1"/>
    <col min="3" max="3" width="12.7109375" style="211" customWidth="1"/>
    <col min="4" max="4" width="6.28515625" style="213" customWidth="1"/>
    <col min="5" max="5" width="18.7109375" style="211" customWidth="1"/>
    <col min="6" max="6" width="3.42578125" style="214" customWidth="1"/>
    <col min="7" max="8" width="9.7109375" style="211" customWidth="1"/>
    <col min="9" max="9" width="9.85546875" style="214" customWidth="1"/>
    <col min="10" max="10" width="12.42578125" style="211" customWidth="1"/>
    <col min="11" max="11" width="5.85546875" style="211" customWidth="1"/>
    <col min="12" max="16384" width="8.7109375" style="211"/>
  </cols>
  <sheetData>
    <row r="1" spans="1:24">
      <c r="A1" s="631"/>
      <c r="B1" s="631"/>
      <c r="C1" s="632"/>
      <c r="D1" s="633"/>
      <c r="E1" s="632"/>
      <c r="F1" s="636"/>
      <c r="G1" s="215"/>
      <c r="H1" s="244"/>
      <c r="I1" s="245"/>
      <c r="J1" s="245"/>
      <c r="K1" s="210"/>
    </row>
    <row r="2" spans="1:24" ht="15">
      <c r="A2" s="632"/>
      <c r="B2" s="632"/>
      <c r="C2" s="632"/>
      <c r="D2" s="633"/>
      <c r="E2" s="632"/>
      <c r="F2" s="636"/>
      <c r="G2" s="215"/>
      <c r="H2" s="251" t="s">
        <v>330</v>
      </c>
      <c r="I2" s="217"/>
      <c r="J2" s="217"/>
      <c r="K2" s="215"/>
      <c r="P2" s="217"/>
    </row>
    <row r="3" spans="1:24" ht="14.25">
      <c r="A3" s="632"/>
      <c r="B3" s="632"/>
      <c r="C3" s="632"/>
      <c r="D3" s="633"/>
      <c r="E3" s="632"/>
      <c r="F3" s="636"/>
      <c r="G3" s="215"/>
      <c r="H3" s="252"/>
      <c r="I3" s="211"/>
      <c r="J3" s="217"/>
      <c r="K3" s="215"/>
      <c r="P3" s="217"/>
    </row>
    <row r="4" spans="1:24" ht="14.25">
      <c r="A4" s="632"/>
      <c r="B4" s="632"/>
      <c r="C4" s="632"/>
      <c r="D4" s="633"/>
      <c r="E4" s="632"/>
      <c r="F4" s="636"/>
      <c r="G4" s="215"/>
      <c r="H4" s="252" t="s">
        <v>773</v>
      </c>
      <c r="I4" s="211"/>
      <c r="J4" s="217"/>
      <c r="K4" s="215"/>
      <c r="P4" s="217"/>
    </row>
    <row r="5" spans="1:24" ht="14.25">
      <c r="A5" s="632"/>
      <c r="B5" s="632"/>
      <c r="C5" s="632"/>
      <c r="D5" s="633"/>
      <c r="E5" s="632"/>
      <c r="F5" s="636"/>
      <c r="G5" s="215"/>
      <c r="H5" s="252" t="s">
        <v>334</v>
      </c>
      <c r="I5" s="211"/>
      <c r="J5" s="217"/>
      <c r="K5" s="215"/>
      <c r="N5" s="217"/>
    </row>
    <row r="6" spans="1:24" ht="14.25">
      <c r="A6" s="632"/>
      <c r="B6" s="632"/>
      <c r="C6" s="632"/>
      <c r="D6" s="633"/>
      <c r="E6" s="632"/>
      <c r="F6" s="636"/>
      <c r="G6" s="215"/>
      <c r="H6" s="252" t="s">
        <v>335</v>
      </c>
      <c r="J6" s="217"/>
      <c r="K6" s="215"/>
    </row>
    <row r="7" spans="1:24" ht="15" customHeight="1">
      <c r="A7" s="220"/>
      <c r="B7" s="220"/>
      <c r="C7" s="220"/>
      <c r="D7" s="221"/>
      <c r="E7" s="220"/>
      <c r="F7" s="398"/>
      <c r="G7" s="223"/>
      <c r="H7" s="253" t="s">
        <v>772</v>
      </c>
      <c r="I7" s="398"/>
      <c r="J7" s="220"/>
      <c r="K7" s="223"/>
    </row>
    <row r="8" spans="1:24">
      <c r="A8" s="747" t="s">
        <v>537</v>
      </c>
      <c r="B8" s="733"/>
      <c r="C8" s="747" t="s">
        <v>538</v>
      </c>
      <c r="D8" s="733"/>
      <c r="E8" s="747" t="s">
        <v>539</v>
      </c>
      <c r="F8" s="733"/>
      <c r="G8" s="747" t="s">
        <v>540</v>
      </c>
      <c r="H8" s="731"/>
      <c r="I8" s="731"/>
      <c r="J8" s="737" t="s">
        <v>541</v>
      </c>
      <c r="K8" s="739"/>
    </row>
    <row r="9" spans="1:24" ht="14.25">
      <c r="A9" s="742" t="s">
        <v>542</v>
      </c>
      <c r="B9" s="743"/>
      <c r="C9" s="751">
        <v>45436</v>
      </c>
      <c r="D9" s="752"/>
      <c r="E9" s="753"/>
      <c r="F9" s="753"/>
      <c r="G9" s="754" t="s">
        <v>1257</v>
      </c>
      <c r="H9" s="755"/>
      <c r="I9" s="756"/>
      <c r="J9" s="742" t="s">
        <v>258</v>
      </c>
      <c r="K9" s="743"/>
    </row>
    <row r="10" spans="1:24">
      <c r="A10" s="737" t="s">
        <v>543</v>
      </c>
      <c r="B10" s="738"/>
      <c r="C10" s="738"/>
      <c r="D10" s="738"/>
      <c r="E10" s="738"/>
      <c r="F10" s="738"/>
      <c r="G10" s="738"/>
      <c r="H10" s="738"/>
      <c r="I10" s="738"/>
      <c r="J10" s="738"/>
      <c r="K10" s="739"/>
    </row>
    <row r="11" spans="1:24" ht="14.25">
      <c r="A11" s="462" t="s">
        <v>290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3"/>
    </row>
    <row r="12" spans="1:24" ht="31.5" customHeight="1">
      <c r="A12" s="231" t="s">
        <v>544</v>
      </c>
      <c r="B12" s="748" t="s">
        <v>545</v>
      </c>
      <c r="C12" s="749"/>
      <c r="D12" s="749"/>
      <c r="E12" s="750"/>
      <c r="F12" s="232" t="s">
        <v>546</v>
      </c>
      <c r="G12" s="231" t="s">
        <v>547</v>
      </c>
      <c r="H12" s="231" t="s">
        <v>548</v>
      </c>
      <c r="I12" s="231" t="s">
        <v>549</v>
      </c>
      <c r="J12" s="231" t="s">
        <v>550</v>
      </c>
      <c r="K12" s="231" t="s">
        <v>551</v>
      </c>
    </row>
    <row r="13" spans="1:24" ht="12.95" customHeight="1">
      <c r="A13" s="241"/>
      <c r="B13" s="542" t="s">
        <v>552</v>
      </c>
      <c r="C13" s="229"/>
      <c r="D13" s="229"/>
      <c r="E13" s="230"/>
      <c r="F13" s="238"/>
      <c r="G13" s="239"/>
      <c r="H13" s="572"/>
      <c r="I13" s="239" t="str">
        <f>IF(A13="","",ROUND(G13/VLOOKUP(A13,bhpc_data[],9,FALSE),0))</f>
        <v/>
      </c>
      <c r="J13" s="572"/>
      <c r="K13" s="239"/>
      <c r="N13" s="217"/>
    </row>
    <row r="14" spans="1:24" ht="15">
      <c r="A14" s="556" t="str">
        <f t="array" ref="A14">IFERROR(INDEX(productsSku, SMALL(IF(productsQty&lt;&gt;0, ROW(productsQty)-ROW('BHPC MANAGER'!$CD$10)+1), ROW(L1))), "")</f>
        <v>P06003</v>
      </c>
      <c r="B14" s="263" t="str">
        <f t="array" ref="B14">IFERROR(INDEX(productsDescription, SMALL(IF(productsQty&lt;&gt;0, ROW(productsQty)-ROW('BHPC MANAGER'!$CD$10)+1), ROW(L1))), "")</f>
        <v>BHPC PRESTIGE TITAN 100ML EDP MEN</v>
      </c>
      <c r="C14"/>
      <c r="D14"/>
      <c r="E14" s="209"/>
      <c r="F14" s="240" t="str">
        <f>IF(A14="","","PC")</f>
        <v>PC</v>
      </c>
      <c r="G14" s="240">
        <f t="array" ref="G14">IFERROR(INDEX(productsQty, SMALL(IF(productsQty&lt;&gt;0, ROW(productsQty)-ROW('BHPC MANAGER'!$CD$10)+1), ROW(L1))), "")</f>
        <v>720</v>
      </c>
      <c r="H14" s="573">
        <f t="array" ref="H14">IFERROR(INDEX(productsSalePrice, SMALL(IF(productsQty&lt;&gt;0, ROW(productsQty)-ROW('BHPC MANAGER'!$CD$10)+1), ROW(L1))), "")</f>
        <v>11.68</v>
      </c>
      <c r="I14" s="240">
        <f>IF(A14="","",CEILING(G14/VLOOKUP(A14,bhpc_data[],9,FALSE),1))</f>
        <v>30</v>
      </c>
      <c r="J14" s="573">
        <f>IF(A14="","",G14*H14)</f>
        <v>8409.6</v>
      </c>
      <c r="K14" s="240" t="str">
        <f>IF(A14="","",$C$54)</f>
        <v>053</v>
      </c>
      <c r="N14" s="214"/>
      <c r="S14" s="81"/>
      <c r="T14" s="81"/>
      <c r="U14" s="235"/>
      <c r="V14" s="81"/>
      <c r="W14" s="235"/>
      <c r="X14" s="81"/>
    </row>
    <row r="15" spans="1:24" ht="15">
      <c r="A15" s="556"/>
      <c r="B15" s="263"/>
      <c r="C15"/>
      <c r="D15"/>
      <c r="E15" s="209"/>
      <c r="F15" s="240"/>
      <c r="G15" s="240"/>
      <c r="H15" s="573"/>
      <c r="I15" s="240"/>
      <c r="J15" s="573"/>
      <c r="K15" s="240"/>
      <c r="N15" s="217"/>
    </row>
    <row r="16" spans="1:24" ht="15">
      <c r="A16" s="556"/>
      <c r="B16" s="263"/>
      <c r="C16"/>
      <c r="D16"/>
      <c r="E16" s="209"/>
      <c r="F16" s="240"/>
      <c r="G16" s="240"/>
      <c r="H16" s="573"/>
      <c r="I16" s="240"/>
      <c r="J16" s="573"/>
      <c r="K16" s="240"/>
      <c r="N16" s="214"/>
      <c r="S16" s="81"/>
      <c r="T16" s="81"/>
      <c r="U16" s="235"/>
      <c r="V16" s="81"/>
      <c r="W16" s="235"/>
      <c r="X16" s="81"/>
    </row>
    <row r="17" spans="1:24" ht="15">
      <c r="A17" s="556"/>
      <c r="B17" s="263"/>
      <c r="C17"/>
      <c r="D17"/>
      <c r="E17" s="209"/>
      <c r="F17" s="240"/>
      <c r="G17" s="240"/>
      <c r="H17" s="573"/>
      <c r="I17" s="240"/>
      <c r="J17" s="573"/>
      <c r="K17" s="240"/>
      <c r="N17" s="217"/>
    </row>
    <row r="18" spans="1:24" ht="15">
      <c r="A18" s="556"/>
      <c r="B18" s="263"/>
      <c r="C18"/>
      <c r="D18"/>
      <c r="E18" s="209"/>
      <c r="F18" s="240"/>
      <c r="G18" s="240"/>
      <c r="H18" s="573"/>
      <c r="I18" s="240"/>
      <c r="J18" s="573"/>
      <c r="K18" s="240"/>
      <c r="N18" s="214"/>
      <c r="S18" s="81"/>
      <c r="T18" s="81"/>
      <c r="U18" s="235"/>
      <c r="V18" s="81"/>
      <c r="W18" s="235"/>
      <c r="X18" s="81"/>
    </row>
    <row r="19" spans="1:24" ht="15">
      <c r="A19" s="556"/>
      <c r="B19" s="263"/>
      <c r="C19"/>
      <c r="D19"/>
      <c r="E19" s="209"/>
      <c r="F19" s="240"/>
      <c r="G19" s="240"/>
      <c r="H19" s="573"/>
      <c r="I19" s="240"/>
      <c r="J19" s="573"/>
      <c r="K19" s="240"/>
    </row>
    <row r="20" spans="1:24" ht="15">
      <c r="A20" s="556"/>
      <c r="B20" s="263"/>
      <c r="C20"/>
      <c r="D20"/>
      <c r="E20" s="209"/>
      <c r="F20" s="240"/>
      <c r="G20" s="240"/>
      <c r="H20" s="573"/>
      <c r="I20" s="240"/>
      <c r="J20" s="573"/>
      <c r="K20" s="240"/>
    </row>
    <row r="21" spans="1:24" ht="15">
      <c r="A21" s="556"/>
      <c r="B21" s="263"/>
      <c r="C21"/>
      <c r="D21"/>
      <c r="E21" s="209"/>
      <c r="F21" s="240"/>
      <c r="G21" s="240"/>
      <c r="H21" s="573"/>
      <c r="I21" s="240"/>
      <c r="J21" s="573"/>
      <c r="K21" s="240"/>
    </row>
    <row r="22" spans="1:24" ht="15">
      <c r="A22" s="556"/>
      <c r="B22" s="263"/>
      <c r="C22"/>
      <c r="D22"/>
      <c r="E22" s="209"/>
      <c r="F22" s="240"/>
      <c r="G22" s="240"/>
      <c r="H22" s="573"/>
      <c r="I22" s="240"/>
      <c r="J22" s="573"/>
      <c r="K22" s="240"/>
    </row>
    <row r="23" spans="1:24" ht="15">
      <c r="A23" s="556"/>
      <c r="B23" s="263"/>
      <c r="C23"/>
      <c r="D23"/>
      <c r="E23" s="209"/>
      <c r="F23" s="240"/>
      <c r="G23" s="240"/>
      <c r="H23" s="573"/>
      <c r="I23" s="240"/>
      <c r="J23" s="573"/>
      <c r="K23" s="240"/>
    </row>
    <row r="24" spans="1:24" ht="15">
      <c r="A24" s="556"/>
      <c r="B24" s="263"/>
      <c r="C24"/>
      <c r="D24"/>
      <c r="E24" s="209"/>
      <c r="F24" s="240"/>
      <c r="G24" s="240"/>
      <c r="H24" s="573"/>
      <c r="I24" s="240"/>
      <c r="J24" s="573"/>
      <c r="K24" s="240"/>
    </row>
    <row r="25" spans="1:24" ht="15">
      <c r="A25" s="556"/>
      <c r="B25" s="263"/>
      <c r="C25"/>
      <c r="D25"/>
      <c r="E25" s="209"/>
      <c r="F25" s="240"/>
      <c r="G25" s="240"/>
      <c r="H25" s="573"/>
      <c r="I25" s="240"/>
      <c r="J25" s="573"/>
      <c r="K25" s="240"/>
    </row>
    <row r="26" spans="1:24" ht="15">
      <c r="A26" s="556"/>
      <c r="B26" s="263"/>
      <c r="C26"/>
      <c r="D26"/>
      <c r="E26" s="209"/>
      <c r="F26" s="240"/>
      <c r="G26" s="240"/>
      <c r="H26" s="573"/>
      <c r="I26" s="240"/>
      <c r="J26" s="573"/>
      <c r="K26" s="240"/>
    </row>
    <row r="27" spans="1:24" ht="15">
      <c r="A27" s="556"/>
      <c r="B27" s="263"/>
      <c r="C27"/>
      <c r="D27"/>
      <c r="E27" s="209"/>
      <c r="F27" s="240"/>
      <c r="G27" s="240"/>
      <c r="H27" s="573"/>
      <c r="I27" s="240"/>
      <c r="J27" s="573"/>
      <c r="K27" s="240"/>
    </row>
    <row r="28" spans="1:24" ht="15">
      <c r="A28" s="556"/>
      <c r="B28" s="263"/>
      <c r="C28"/>
      <c r="D28"/>
      <c r="E28" s="209"/>
      <c r="F28" s="240"/>
      <c r="G28" s="240"/>
      <c r="H28" s="573"/>
      <c r="I28" s="240"/>
      <c r="J28" s="573"/>
      <c r="K28" s="240"/>
    </row>
    <row r="29" spans="1:24" ht="15">
      <c r="A29" s="556"/>
      <c r="B29" s="263"/>
      <c r="C29"/>
      <c r="D29"/>
      <c r="E29" s="209"/>
      <c r="F29" s="240"/>
      <c r="G29" s="240"/>
      <c r="H29" s="573"/>
      <c r="I29" s="240"/>
      <c r="J29" s="573"/>
      <c r="K29" s="240"/>
    </row>
    <row r="30" spans="1:24" ht="15">
      <c r="A30" s="556"/>
      <c r="B30" s="263"/>
      <c r="C30"/>
      <c r="D30"/>
      <c r="E30" s="209"/>
      <c r="F30" s="240"/>
      <c r="G30" s="240"/>
      <c r="H30" s="573"/>
      <c r="I30" s="240"/>
      <c r="J30" s="573"/>
      <c r="K30" s="240"/>
    </row>
    <row r="31" spans="1:24" ht="15">
      <c r="A31" s="556"/>
      <c r="B31" s="263"/>
      <c r="C31"/>
      <c r="D31"/>
      <c r="E31" s="209"/>
      <c r="F31" s="240"/>
      <c r="G31" s="240"/>
      <c r="H31" s="573"/>
      <c r="I31" s="240"/>
      <c r="J31" s="573"/>
      <c r="K31" s="240"/>
    </row>
    <row r="32" spans="1:24" ht="15">
      <c r="A32" s="556"/>
      <c r="B32" s="263"/>
      <c r="C32"/>
      <c r="D32"/>
      <c r="E32" s="209"/>
      <c r="F32" s="240"/>
      <c r="G32" s="240"/>
      <c r="H32" s="573"/>
      <c r="I32" s="240"/>
      <c r="J32" s="573"/>
      <c r="K32" s="240"/>
    </row>
    <row r="33" spans="1:11" ht="15">
      <c r="A33" s="556"/>
      <c r="B33" s="263"/>
      <c r="C33"/>
      <c r="D33"/>
      <c r="E33" s="209"/>
      <c r="F33" s="240"/>
      <c r="G33" s="240"/>
      <c r="H33" s="573"/>
      <c r="I33" s="240"/>
      <c r="J33" s="573"/>
      <c r="K33" s="240"/>
    </row>
    <row r="34" spans="1:11" ht="15">
      <c r="A34" s="556"/>
      <c r="B34" s="263"/>
      <c r="C34"/>
      <c r="D34"/>
      <c r="E34" s="209"/>
      <c r="F34" s="240"/>
      <c r="G34" s="240"/>
      <c r="H34" s="573"/>
      <c r="I34" s="240"/>
      <c r="J34" s="573"/>
      <c r="K34" s="240"/>
    </row>
    <row r="35" spans="1:11" ht="15">
      <c r="A35" s="556"/>
      <c r="B35" s="263"/>
      <c r="C35"/>
      <c r="D35"/>
      <c r="E35" s="209"/>
      <c r="F35" s="240"/>
      <c r="G35" s="240"/>
      <c r="H35" s="573"/>
      <c r="I35" s="240"/>
      <c r="J35" s="573"/>
      <c r="K35" s="240"/>
    </row>
    <row r="36" spans="1:11" ht="15">
      <c r="A36" s="556"/>
      <c r="B36" s="263"/>
      <c r="C36"/>
      <c r="D36"/>
      <c r="E36" s="209"/>
      <c r="F36" s="240"/>
      <c r="G36" s="240"/>
      <c r="H36" s="573"/>
      <c r="I36" s="240"/>
      <c r="J36" s="573"/>
      <c r="K36" s="240"/>
    </row>
    <row r="37" spans="1:11" ht="15">
      <c r="A37" s="556"/>
      <c r="B37" s="263"/>
      <c r="C37"/>
      <c r="D37"/>
      <c r="E37" s="209"/>
      <c r="F37" s="240"/>
      <c r="G37" s="240"/>
      <c r="H37" s="573"/>
      <c r="I37" s="240"/>
      <c r="J37" s="573"/>
      <c r="K37" s="240"/>
    </row>
    <row r="38" spans="1:11" ht="15">
      <c r="A38" s="556"/>
      <c r="B38" s="263"/>
      <c r="C38"/>
      <c r="D38"/>
      <c r="E38" s="209"/>
      <c r="F38" s="240"/>
      <c r="G38" s="240"/>
      <c r="H38" s="573"/>
      <c r="I38" s="240"/>
      <c r="J38" s="573"/>
      <c r="K38" s="240"/>
    </row>
    <row r="39" spans="1:11" ht="15">
      <c r="A39" s="556"/>
      <c r="B39" s="263"/>
      <c r="C39"/>
      <c r="D39"/>
      <c r="E39" s="209"/>
      <c r="F39" s="240"/>
      <c r="G39" s="240"/>
      <c r="H39" s="573"/>
      <c r="I39" s="240"/>
      <c r="J39" s="573"/>
      <c r="K39" s="240"/>
    </row>
    <row r="40" spans="1:11" ht="15">
      <c r="A40" s="556"/>
      <c r="B40" s="263"/>
      <c r="C40"/>
      <c r="D40"/>
      <c r="E40" s="209"/>
      <c r="F40" s="240"/>
      <c r="G40" s="240"/>
      <c r="H40" s="573"/>
      <c r="I40" s="240"/>
      <c r="J40" s="573"/>
      <c r="K40" s="240"/>
    </row>
    <row r="41" spans="1:11" ht="15">
      <c r="A41" s="556"/>
      <c r="B41" s="263"/>
      <c r="C41"/>
      <c r="D41"/>
      <c r="E41" s="209"/>
      <c r="F41" s="240"/>
      <c r="G41" s="240"/>
      <c r="H41" s="573"/>
      <c r="I41" s="240"/>
      <c r="J41" s="573"/>
      <c r="K41" s="240"/>
    </row>
    <row r="42" spans="1:11" ht="15">
      <c r="A42" s="556"/>
      <c r="B42" s="263"/>
      <c r="C42"/>
      <c r="D42"/>
      <c r="E42" s="209"/>
      <c r="F42" s="240"/>
      <c r="G42" s="240"/>
      <c r="H42" s="573"/>
      <c r="I42" s="240"/>
      <c r="J42" s="573"/>
      <c r="K42" s="240"/>
    </row>
    <row r="43" spans="1:11" ht="15">
      <c r="A43" s="556"/>
      <c r="B43" s="263"/>
      <c r="C43"/>
      <c r="D43"/>
      <c r="E43" s="209"/>
      <c r="F43" s="240"/>
      <c r="G43" s="240"/>
      <c r="H43" s="573"/>
      <c r="I43" s="240"/>
      <c r="J43" s="573"/>
      <c r="K43" s="240"/>
    </row>
    <row r="44" spans="1:11" ht="15">
      <c r="A44" s="556"/>
      <c r="B44" s="263"/>
      <c r="C44"/>
      <c r="D44"/>
      <c r="E44" s="209"/>
      <c r="F44" s="240"/>
      <c r="G44" s="240"/>
      <c r="H44" s="573"/>
      <c r="I44" s="240"/>
      <c r="J44" s="573"/>
      <c r="K44" s="240"/>
    </row>
    <row r="45" spans="1:11" ht="15">
      <c r="A45" s="556"/>
      <c r="B45" s="263"/>
      <c r="C45"/>
      <c r="D45"/>
      <c r="E45" s="209"/>
      <c r="F45" s="240"/>
      <c r="G45" s="240"/>
      <c r="H45" s="573"/>
      <c r="I45" s="240"/>
      <c r="J45" s="573"/>
      <c r="K45" s="240"/>
    </row>
    <row r="46" spans="1:11" ht="15">
      <c r="A46" s="556"/>
      <c r="B46" s="263"/>
      <c r="C46"/>
      <c r="D46"/>
      <c r="E46" s="209"/>
      <c r="F46" s="240"/>
      <c r="G46" s="240"/>
      <c r="H46" s="573"/>
      <c r="I46" s="240"/>
      <c r="J46" s="573"/>
      <c r="K46" s="240"/>
    </row>
    <row r="47" spans="1:11" ht="15">
      <c r="A47" s="556"/>
      <c r="B47" s="263"/>
      <c r="C47"/>
      <c r="D47"/>
      <c r="E47" s="209"/>
      <c r="F47" s="240"/>
      <c r="G47" s="240"/>
      <c r="H47" s="573"/>
      <c r="I47" s="240"/>
      <c r="J47" s="573"/>
      <c r="K47" s="240"/>
    </row>
    <row r="48" spans="1:11" ht="15">
      <c r="A48" s="556"/>
      <c r="B48" s="263"/>
      <c r="C48"/>
      <c r="D48"/>
      <c r="E48" s="209"/>
      <c r="F48" s="240"/>
      <c r="G48" s="240"/>
      <c r="H48" s="573"/>
      <c r="I48" s="240"/>
      <c r="J48" s="573"/>
      <c r="K48" s="240"/>
    </row>
    <row r="49" spans="1:14" ht="15">
      <c r="A49" s="556"/>
      <c r="B49" s="263"/>
      <c r="C49"/>
      <c r="D49"/>
      <c r="E49" s="209"/>
      <c r="F49" s="240"/>
      <c r="G49" s="240"/>
      <c r="H49" s="573"/>
      <c r="I49" s="240"/>
      <c r="J49" s="573"/>
      <c r="K49" s="240"/>
    </row>
    <row r="50" spans="1:14" ht="15">
      <c r="A50" s="556"/>
      <c r="B50" s="263"/>
      <c r="C50"/>
      <c r="D50"/>
      <c r="E50" s="209"/>
      <c r="F50" s="240"/>
      <c r="G50" s="240"/>
      <c r="H50" s="573"/>
      <c r="I50" s="240"/>
      <c r="J50" s="573"/>
      <c r="K50" s="240"/>
    </row>
    <row r="51" spans="1:14">
      <c r="A51" s="737"/>
      <c r="B51" s="739"/>
      <c r="C51" s="737"/>
      <c r="D51" s="739"/>
      <c r="E51" s="737"/>
      <c r="F51" s="738"/>
      <c r="G51" s="739"/>
      <c r="H51" s="740"/>
      <c r="I51" s="738"/>
      <c r="J51" s="741"/>
      <c r="K51" s="739"/>
    </row>
    <row r="52" spans="1:14" s="225" customFormat="1" ht="14.45" customHeight="1">
      <c r="A52" s="742"/>
      <c r="B52" s="743"/>
      <c r="C52" s="742"/>
      <c r="D52" s="743"/>
      <c r="E52" s="744"/>
      <c r="F52" s="745"/>
      <c r="G52" s="746"/>
      <c r="H52" s="734">
        <f>SUM(J14:J50)</f>
        <v>8409.6</v>
      </c>
      <c r="I52" s="735"/>
      <c r="J52" s="735"/>
      <c r="K52" s="736"/>
    </row>
    <row r="53" spans="1:14">
      <c r="A53" s="737" t="s">
        <v>554</v>
      </c>
      <c r="B53" s="739"/>
      <c r="C53" s="226" t="s">
        <v>555</v>
      </c>
      <c r="D53" s="737" t="s">
        <v>556</v>
      </c>
      <c r="E53" s="739"/>
      <c r="F53" s="737" t="s">
        <v>557</v>
      </c>
      <c r="G53" s="739"/>
      <c r="H53" s="730" t="s">
        <v>558</v>
      </c>
      <c r="I53" s="731"/>
      <c r="J53" s="732"/>
      <c r="K53" s="733"/>
    </row>
    <row r="54" spans="1:14" ht="14.45" customHeight="1">
      <c r="A54" s="716" t="s">
        <v>287</v>
      </c>
      <c r="B54" s="717"/>
      <c r="C54" s="720" t="s">
        <v>286</v>
      </c>
      <c r="D54" s="722">
        <f>H52</f>
        <v>8409.6</v>
      </c>
      <c r="E54" s="723"/>
      <c r="F54" s="726">
        <f>IF(C54="022",22%,0)</f>
        <v>0</v>
      </c>
      <c r="G54" s="727"/>
      <c r="H54" s="734">
        <f>H52</f>
        <v>8409.6</v>
      </c>
      <c r="I54" s="735"/>
      <c r="J54" s="735"/>
      <c r="K54" s="736"/>
    </row>
    <row r="55" spans="1:14">
      <c r="A55" s="716"/>
      <c r="B55" s="717"/>
      <c r="C55" s="720"/>
      <c r="D55" s="722"/>
      <c r="E55" s="723"/>
      <c r="F55" s="726"/>
      <c r="G55" s="727"/>
      <c r="H55" s="730" t="s">
        <v>559</v>
      </c>
      <c r="I55" s="731"/>
      <c r="J55" s="732"/>
      <c r="K55" s="733"/>
    </row>
    <row r="56" spans="1:14" ht="14.45" customHeight="1">
      <c r="A56" s="716"/>
      <c r="B56" s="717"/>
      <c r="C56" s="720"/>
      <c r="D56" s="722"/>
      <c r="E56" s="723"/>
      <c r="F56" s="726"/>
      <c r="G56" s="727"/>
      <c r="H56" s="734">
        <f>SEJ54*F54</f>
        <v>0</v>
      </c>
      <c r="I56" s="735"/>
      <c r="J56" s="735"/>
      <c r="K56" s="736"/>
    </row>
    <row r="57" spans="1:14">
      <c r="A57" s="716"/>
      <c r="B57" s="717"/>
      <c r="C57" s="720"/>
      <c r="D57" s="722"/>
      <c r="E57" s="723"/>
      <c r="F57" s="726"/>
      <c r="G57" s="727"/>
      <c r="H57" s="730" t="s">
        <v>560</v>
      </c>
      <c r="I57" s="731"/>
      <c r="J57" s="732"/>
      <c r="K57" s="733"/>
    </row>
    <row r="58" spans="1:14" ht="14.45" customHeight="1">
      <c r="A58" s="718"/>
      <c r="B58" s="719"/>
      <c r="C58" s="721"/>
      <c r="D58" s="724"/>
      <c r="E58" s="725"/>
      <c r="F58" s="728"/>
      <c r="G58" s="729"/>
      <c r="H58" s="734">
        <f>H52+H56</f>
        <v>8409.6</v>
      </c>
      <c r="I58" s="735"/>
      <c r="J58" s="735"/>
      <c r="K58" s="736"/>
    </row>
    <row r="59" spans="1:14">
      <c r="A59" s="701" t="s">
        <v>561</v>
      </c>
      <c r="B59" s="702"/>
      <c r="C59" s="702"/>
      <c r="D59" s="702"/>
      <c r="E59" s="702"/>
      <c r="F59" s="702"/>
      <c r="G59" s="702"/>
      <c r="H59" s="703"/>
      <c r="I59" s="702"/>
      <c r="J59" s="703"/>
      <c r="K59" s="704"/>
    </row>
    <row r="60" spans="1:14" s="227" customFormat="1" ht="10.5" customHeight="1">
      <c r="A60" s="705" t="s">
        <v>562</v>
      </c>
      <c r="B60" s="706"/>
      <c r="C60" s="706"/>
      <c r="D60" s="706"/>
      <c r="E60" s="706"/>
      <c r="F60" s="706"/>
      <c r="G60" s="706"/>
      <c r="H60" s="707"/>
      <c r="I60" s="706"/>
      <c r="J60" s="707"/>
      <c r="K60" s="708"/>
      <c r="M60" s="211"/>
      <c r="N60" s="211"/>
    </row>
    <row r="61" spans="1:14" s="228" customFormat="1" ht="7.5" customHeight="1">
      <c r="A61" s="701" t="s">
        <v>563</v>
      </c>
      <c r="B61" s="709" t="s">
        <v>564</v>
      </c>
      <c r="C61" s="709"/>
      <c r="D61" s="709"/>
      <c r="E61" s="709"/>
      <c r="F61" s="709"/>
      <c r="G61" s="709"/>
      <c r="H61" s="710"/>
      <c r="I61" s="709"/>
      <c r="J61" s="710"/>
      <c r="K61" s="711"/>
      <c r="M61" s="211"/>
      <c r="N61" s="211"/>
    </row>
    <row r="62" spans="1:14">
      <c r="A62" s="705"/>
      <c r="B62" s="712"/>
      <c r="C62" s="712"/>
      <c r="D62" s="712"/>
      <c r="E62" s="712"/>
      <c r="F62" s="712"/>
      <c r="G62" s="712"/>
      <c r="H62" s="713"/>
      <c r="I62" s="712"/>
      <c r="J62" s="713"/>
      <c r="K62" s="714"/>
    </row>
    <row r="63" spans="1:14" s="228" customFormat="1" ht="11.25">
      <c r="A63" s="698" t="s">
        <v>565</v>
      </c>
      <c r="B63" s="698"/>
      <c r="C63" s="698"/>
      <c r="D63" s="698"/>
      <c r="E63" s="698"/>
      <c r="F63" s="698"/>
      <c r="G63" s="698"/>
      <c r="H63" s="715"/>
      <c r="I63" s="698"/>
      <c r="J63" s="715"/>
      <c r="K63" s="698"/>
    </row>
    <row r="64" spans="1:14">
      <c r="A64" s="698" t="s">
        <v>566</v>
      </c>
      <c r="B64" s="698"/>
      <c r="C64" s="698"/>
      <c r="D64" s="698"/>
      <c r="E64" s="698"/>
      <c r="F64" s="698"/>
      <c r="G64" s="698"/>
      <c r="H64" s="715"/>
      <c r="I64" s="698"/>
      <c r="J64" s="715"/>
      <c r="K64" s="698"/>
    </row>
    <row r="65" spans="1:11">
      <c r="A65" s="698" t="s">
        <v>567</v>
      </c>
      <c r="B65" s="699"/>
      <c r="C65" s="699"/>
      <c r="D65" s="699"/>
      <c r="E65" s="699"/>
      <c r="F65" s="699"/>
      <c r="G65" s="699"/>
      <c r="H65" s="700"/>
      <c r="I65" s="699"/>
      <c r="J65" s="700"/>
      <c r="K65" s="699"/>
    </row>
    <row r="66" spans="1:11">
      <c r="H66" s="293"/>
      <c r="J66" s="293"/>
    </row>
    <row r="67" spans="1:11">
      <c r="H67" s="293"/>
      <c r="J67" s="293"/>
    </row>
    <row r="68" spans="1:11">
      <c r="H68" s="293"/>
      <c r="J68" s="293"/>
    </row>
    <row r="69" spans="1:11">
      <c r="H69" s="293"/>
      <c r="J69" s="293"/>
    </row>
    <row r="70" spans="1:11">
      <c r="H70" s="293"/>
      <c r="J70" s="293"/>
    </row>
    <row r="71" spans="1:11">
      <c r="H71" s="293"/>
      <c r="J71" s="293"/>
    </row>
    <row r="72" spans="1:11">
      <c r="H72" s="293"/>
      <c r="J72" s="293"/>
    </row>
    <row r="73" spans="1:11">
      <c r="H73" s="293"/>
      <c r="J73" s="293"/>
    </row>
    <row r="74" spans="1:11">
      <c r="H74" s="293"/>
      <c r="J74" s="293"/>
    </row>
    <row r="75" spans="1:11">
      <c r="H75" s="293"/>
      <c r="J75" s="293"/>
    </row>
    <row r="76" spans="1:11">
      <c r="H76" s="293"/>
      <c r="J76" s="293"/>
    </row>
    <row r="77" spans="1:11">
      <c r="H77" s="293"/>
      <c r="J77" s="293"/>
    </row>
    <row r="78" spans="1:11">
      <c r="H78" s="293"/>
      <c r="J78" s="293"/>
    </row>
    <row r="79" spans="1:11">
      <c r="H79" s="293"/>
      <c r="J79" s="293"/>
    </row>
    <row r="80" spans="1:11">
      <c r="H80" s="293"/>
      <c r="J80" s="293"/>
    </row>
    <row r="81" spans="8:10">
      <c r="H81" s="293"/>
      <c r="J81" s="293"/>
    </row>
    <row r="82" spans="8:10">
      <c r="H82" s="293"/>
      <c r="J82" s="293"/>
    </row>
    <row r="83" spans="8:10">
      <c r="H83" s="293"/>
      <c r="J83" s="293"/>
    </row>
    <row r="84" spans="8:10">
      <c r="H84" s="293"/>
      <c r="J84" s="293"/>
    </row>
    <row r="85" spans="8:10">
      <c r="H85" s="293"/>
      <c r="J85" s="293"/>
    </row>
    <row r="86" spans="8:10">
      <c r="H86" s="293"/>
      <c r="J86" s="293"/>
    </row>
    <row r="87" spans="8:10">
      <c r="H87" s="293"/>
      <c r="J87" s="293"/>
    </row>
    <row r="88" spans="8:10">
      <c r="H88" s="293"/>
      <c r="J88" s="293"/>
    </row>
    <row r="89" spans="8:10">
      <c r="H89" s="293"/>
      <c r="J89" s="293"/>
    </row>
    <row r="90" spans="8:10">
      <c r="H90" s="293"/>
      <c r="J90" s="293"/>
    </row>
    <row r="91" spans="8:10">
      <c r="H91" s="293"/>
      <c r="J91" s="293"/>
    </row>
    <row r="92" spans="8:10">
      <c r="H92" s="293"/>
      <c r="J92" s="293"/>
    </row>
    <row r="93" spans="8:10">
      <c r="H93" s="293"/>
      <c r="J93" s="293"/>
    </row>
    <row r="94" spans="8:10">
      <c r="H94" s="293"/>
      <c r="J94" s="293"/>
    </row>
    <row r="95" spans="8:10">
      <c r="H95" s="293"/>
      <c r="J95" s="293"/>
    </row>
    <row r="96" spans="8:10">
      <c r="H96" s="293"/>
      <c r="J96" s="293"/>
    </row>
    <row r="97" spans="8:10">
      <c r="H97" s="293"/>
      <c r="J97" s="293"/>
    </row>
    <row r="98" spans="8:10">
      <c r="H98" s="293"/>
      <c r="J98" s="293"/>
    </row>
    <row r="99" spans="8:10">
      <c r="H99" s="293"/>
      <c r="J99" s="293"/>
    </row>
    <row r="100" spans="8:10">
      <c r="H100" s="293"/>
      <c r="J100" s="293"/>
    </row>
    <row r="101" spans="8:10">
      <c r="H101" s="293"/>
      <c r="J101" s="293"/>
    </row>
    <row r="102" spans="8:10">
      <c r="H102" s="293"/>
      <c r="J102" s="293"/>
    </row>
    <row r="103" spans="8:10">
      <c r="H103" s="293"/>
      <c r="J103" s="293"/>
    </row>
    <row r="104" spans="8:10">
      <c r="H104" s="293"/>
      <c r="J104" s="293"/>
    </row>
    <row r="105" spans="8:10">
      <c r="H105" s="293"/>
      <c r="J105" s="293"/>
    </row>
    <row r="106" spans="8:10">
      <c r="H106" s="293"/>
      <c r="J106" s="293"/>
    </row>
    <row r="107" spans="8:10">
      <c r="H107" s="293"/>
      <c r="J107" s="293"/>
    </row>
    <row r="108" spans="8:10">
      <c r="H108" s="293"/>
      <c r="J108" s="293"/>
    </row>
    <row r="109" spans="8:10">
      <c r="H109" s="293"/>
      <c r="J109" s="293"/>
    </row>
    <row r="110" spans="8:10">
      <c r="H110" s="293"/>
      <c r="J110" s="293"/>
    </row>
    <row r="111" spans="8:10">
      <c r="H111" s="293"/>
      <c r="J111" s="293"/>
    </row>
    <row r="112" spans="8:10">
      <c r="H112" s="293"/>
      <c r="J112" s="293"/>
    </row>
    <row r="113" spans="8:10">
      <c r="H113" s="293"/>
      <c r="J113" s="293"/>
    </row>
    <row r="114" spans="8:10">
      <c r="H114" s="293"/>
      <c r="J114" s="293"/>
    </row>
    <row r="115" spans="8:10">
      <c r="H115" s="293"/>
      <c r="J115" s="293"/>
    </row>
    <row r="116" spans="8:10">
      <c r="H116" s="293"/>
      <c r="J116" s="293"/>
    </row>
    <row r="117" spans="8:10">
      <c r="H117" s="293"/>
      <c r="J117" s="293"/>
    </row>
    <row r="118" spans="8:10">
      <c r="H118" s="293"/>
      <c r="J118" s="293"/>
    </row>
    <row r="119" spans="8:10">
      <c r="H119" s="293"/>
      <c r="J119" s="293"/>
    </row>
    <row r="120" spans="8:10">
      <c r="H120" s="293"/>
      <c r="J120" s="293"/>
    </row>
    <row r="121" spans="8:10">
      <c r="H121" s="293"/>
      <c r="J121" s="293"/>
    </row>
    <row r="122" spans="8:10">
      <c r="H122" s="293"/>
      <c r="J122" s="293"/>
    </row>
    <row r="123" spans="8:10">
      <c r="H123" s="293"/>
      <c r="J123" s="293"/>
    </row>
    <row r="124" spans="8:10">
      <c r="H124" s="293"/>
      <c r="J124" s="293"/>
    </row>
    <row r="125" spans="8:10">
      <c r="H125" s="293"/>
      <c r="J125" s="293"/>
    </row>
    <row r="126" spans="8:10">
      <c r="H126" s="293"/>
      <c r="J126" s="293"/>
    </row>
    <row r="127" spans="8:10">
      <c r="H127" s="293"/>
      <c r="J127" s="293"/>
    </row>
    <row r="128" spans="8:10">
      <c r="H128" s="293"/>
      <c r="J128" s="293"/>
    </row>
    <row r="129" spans="8:10">
      <c r="H129" s="293"/>
      <c r="J129" s="293"/>
    </row>
    <row r="130" spans="8:10">
      <c r="H130" s="293"/>
      <c r="J130" s="293"/>
    </row>
    <row r="131" spans="8:10">
      <c r="H131" s="293"/>
      <c r="J131" s="293"/>
    </row>
    <row r="132" spans="8:10">
      <c r="H132" s="293"/>
      <c r="J132" s="293"/>
    </row>
    <row r="133" spans="8:10">
      <c r="H133" s="293"/>
      <c r="J133" s="293"/>
    </row>
    <row r="134" spans="8:10">
      <c r="H134" s="293"/>
      <c r="J134" s="293"/>
    </row>
    <row r="135" spans="8:10">
      <c r="H135" s="293"/>
      <c r="J135" s="293"/>
    </row>
    <row r="136" spans="8:10">
      <c r="H136" s="293"/>
      <c r="J136" s="293"/>
    </row>
    <row r="137" spans="8:10">
      <c r="H137" s="293"/>
      <c r="J137" s="293"/>
    </row>
    <row r="138" spans="8:10">
      <c r="H138" s="293"/>
      <c r="J138" s="293"/>
    </row>
    <row r="139" spans="8:10">
      <c r="H139" s="293"/>
      <c r="J139" s="293"/>
    </row>
    <row r="140" spans="8:10">
      <c r="H140" s="293"/>
      <c r="J140" s="293"/>
    </row>
    <row r="141" spans="8:10">
      <c r="H141" s="293"/>
      <c r="J141" s="293"/>
    </row>
    <row r="142" spans="8:10">
      <c r="H142" s="293"/>
      <c r="J142" s="293"/>
    </row>
    <row r="143" spans="8:10">
      <c r="H143" s="293"/>
      <c r="J143" s="293"/>
    </row>
    <row r="144" spans="8:10">
      <c r="H144" s="293"/>
      <c r="J144" s="293"/>
    </row>
    <row r="145" spans="8:10">
      <c r="H145" s="293"/>
      <c r="J145" s="293"/>
    </row>
    <row r="146" spans="8:10">
      <c r="H146" s="293"/>
      <c r="J146" s="293"/>
    </row>
    <row r="147" spans="8:10">
      <c r="H147" s="293"/>
      <c r="J147" s="293"/>
    </row>
    <row r="148" spans="8:10">
      <c r="H148" s="293"/>
      <c r="J148" s="293"/>
    </row>
    <row r="149" spans="8:10">
      <c r="H149" s="293"/>
      <c r="J149" s="293"/>
    </row>
    <row r="150" spans="8:10">
      <c r="H150" s="293"/>
      <c r="J150" s="293"/>
    </row>
    <row r="151" spans="8:10">
      <c r="H151" s="293"/>
      <c r="J151" s="293"/>
    </row>
    <row r="152" spans="8:10">
      <c r="H152" s="293"/>
      <c r="J152" s="293"/>
    </row>
    <row r="153" spans="8:10">
      <c r="H153" s="293"/>
      <c r="J153" s="293"/>
    </row>
    <row r="154" spans="8:10">
      <c r="H154" s="293"/>
      <c r="J154" s="293"/>
    </row>
    <row r="155" spans="8:10">
      <c r="H155" s="293"/>
      <c r="J155" s="293"/>
    </row>
    <row r="156" spans="8:10">
      <c r="H156" s="293"/>
      <c r="J156" s="293"/>
    </row>
    <row r="157" spans="8:10">
      <c r="H157" s="293"/>
      <c r="J157" s="293"/>
    </row>
    <row r="158" spans="8:10">
      <c r="H158" s="293"/>
      <c r="J158" s="293"/>
    </row>
    <row r="159" spans="8:10">
      <c r="H159" s="293"/>
      <c r="J159" s="293"/>
    </row>
    <row r="160" spans="8:10">
      <c r="H160" s="293"/>
      <c r="J160" s="293"/>
    </row>
    <row r="161" spans="8:10">
      <c r="H161" s="293"/>
      <c r="J161" s="293"/>
    </row>
    <row r="162" spans="8:10">
      <c r="H162" s="293"/>
      <c r="J162" s="293"/>
    </row>
    <row r="163" spans="8:10">
      <c r="H163" s="293"/>
      <c r="J163" s="293"/>
    </row>
    <row r="164" spans="8:10">
      <c r="H164" s="293"/>
      <c r="J164" s="293"/>
    </row>
    <row r="165" spans="8:10">
      <c r="H165" s="293"/>
      <c r="J165" s="293"/>
    </row>
    <row r="166" spans="8:10">
      <c r="H166" s="293"/>
      <c r="J166" s="293"/>
    </row>
    <row r="167" spans="8:10">
      <c r="H167" s="293"/>
      <c r="J167" s="293"/>
    </row>
    <row r="168" spans="8:10">
      <c r="H168" s="293"/>
      <c r="J168" s="293"/>
    </row>
    <row r="169" spans="8:10">
      <c r="H169" s="293"/>
      <c r="J169" s="293"/>
    </row>
    <row r="170" spans="8:10">
      <c r="H170" s="293"/>
      <c r="J170" s="293"/>
    </row>
    <row r="171" spans="8:10">
      <c r="H171" s="293"/>
      <c r="J171" s="293"/>
    </row>
    <row r="172" spans="8:10">
      <c r="H172" s="293"/>
      <c r="J172" s="293"/>
    </row>
    <row r="173" spans="8:10">
      <c r="H173" s="293"/>
      <c r="J173" s="293"/>
    </row>
    <row r="174" spans="8:10">
      <c r="H174" s="293"/>
      <c r="J174" s="293"/>
    </row>
    <row r="175" spans="8:10">
      <c r="H175" s="293"/>
      <c r="J175" s="293"/>
    </row>
    <row r="176" spans="8:10">
      <c r="H176" s="293"/>
      <c r="J176" s="293"/>
    </row>
    <row r="177" spans="8:10">
      <c r="H177" s="293"/>
      <c r="J177" s="293"/>
    </row>
    <row r="178" spans="8:10">
      <c r="H178" s="293"/>
      <c r="J178" s="293"/>
    </row>
    <row r="179" spans="8:10">
      <c r="H179" s="293"/>
      <c r="J179" s="293"/>
    </row>
    <row r="180" spans="8:10">
      <c r="H180" s="293"/>
      <c r="J180" s="293"/>
    </row>
    <row r="181" spans="8:10">
      <c r="H181" s="293"/>
      <c r="J181" s="293"/>
    </row>
    <row r="182" spans="8:10">
      <c r="H182" s="293"/>
      <c r="J182" s="293"/>
    </row>
    <row r="183" spans="8:10">
      <c r="H183" s="293"/>
      <c r="J183" s="293"/>
    </row>
    <row r="184" spans="8:10">
      <c r="H184" s="293"/>
      <c r="J184" s="293"/>
    </row>
    <row r="185" spans="8:10">
      <c r="H185" s="293"/>
      <c r="J185" s="293"/>
    </row>
    <row r="186" spans="8:10">
      <c r="H186" s="293"/>
      <c r="J186" s="293"/>
    </row>
    <row r="187" spans="8:10">
      <c r="H187" s="293"/>
      <c r="J187" s="293"/>
    </row>
    <row r="188" spans="8:10">
      <c r="H188" s="293"/>
      <c r="J188" s="293"/>
    </row>
    <row r="189" spans="8:10">
      <c r="H189" s="293"/>
      <c r="J189" s="293"/>
    </row>
    <row r="190" spans="8:10">
      <c r="H190" s="293"/>
      <c r="J190" s="293"/>
    </row>
    <row r="191" spans="8:10">
      <c r="H191" s="293"/>
      <c r="J191" s="293"/>
    </row>
    <row r="192" spans="8:10">
      <c r="H192" s="293"/>
      <c r="J192" s="293"/>
    </row>
    <row r="193" spans="4:10">
      <c r="H193" s="293"/>
      <c r="J193" s="293"/>
    </row>
    <row r="194" spans="4:10">
      <c r="H194" s="293"/>
      <c r="J194" s="293"/>
    </row>
    <row r="195" spans="4:10">
      <c r="H195" s="293"/>
      <c r="J195" s="293"/>
    </row>
    <row r="196" spans="4:10">
      <c r="H196" s="293"/>
      <c r="J196" s="293"/>
    </row>
    <row r="197" spans="4:10">
      <c r="H197" s="293"/>
      <c r="J197" s="293"/>
    </row>
    <row r="198" spans="4:10">
      <c r="H198" s="293"/>
      <c r="J198" s="293"/>
    </row>
    <row r="199" spans="4:10">
      <c r="H199" s="293"/>
      <c r="J199" s="293"/>
    </row>
    <row r="200" spans="4:10">
      <c r="H200" s="293"/>
      <c r="J200" s="293"/>
    </row>
    <row r="201" spans="4:10">
      <c r="H201" s="293"/>
      <c r="J201" s="293"/>
    </row>
    <row r="202" spans="4:10">
      <c r="H202" s="293"/>
      <c r="J202" s="293"/>
    </row>
    <row r="203" spans="4:10">
      <c r="H203" s="293"/>
      <c r="J203" s="293"/>
    </row>
    <row r="204" spans="4:10">
      <c r="J204" s="293"/>
    </row>
    <row r="205" spans="4:10">
      <c r="D205" s="234"/>
      <c r="E205" s="233"/>
      <c r="J205" s="293"/>
    </row>
    <row r="206" spans="4:10">
      <c r="D206" s="294"/>
      <c r="E206" s="293"/>
      <c r="J206" s="293"/>
    </row>
    <row r="207" spans="4:10">
      <c r="D207" s="294"/>
      <c r="E207" s="293"/>
      <c r="J207" s="293"/>
    </row>
    <row r="208" spans="4:10">
      <c r="D208" s="294"/>
      <c r="E208" s="293"/>
      <c r="J208" s="293"/>
    </row>
    <row r="209" spans="4:10">
      <c r="D209" s="294"/>
      <c r="E209" s="293"/>
      <c r="J209" s="293"/>
    </row>
    <row r="210" spans="4:10">
      <c r="D210" s="294"/>
      <c r="E210" s="293"/>
      <c r="J210" s="293"/>
    </row>
    <row r="211" spans="4:10">
      <c r="D211" s="294"/>
      <c r="E211" s="293"/>
      <c r="J211" s="293"/>
    </row>
  </sheetData>
  <sheetProtection sort="0" autoFilter="0"/>
  <mergeCells count="40">
    <mergeCell ref="J9:K9"/>
    <mergeCell ref="A10:K10"/>
    <mergeCell ref="B12:E12"/>
    <mergeCell ref="A9:B9"/>
    <mergeCell ref="C9:D9"/>
    <mergeCell ref="E9:F9"/>
    <mergeCell ref="G9:I9"/>
    <mergeCell ref="A8:B8"/>
    <mergeCell ref="C8:D8"/>
    <mergeCell ref="E8:F8"/>
    <mergeCell ref="G8:I8"/>
    <mergeCell ref="J8:K8"/>
    <mergeCell ref="E51:G51"/>
    <mergeCell ref="H52:K52"/>
    <mergeCell ref="A53:B53"/>
    <mergeCell ref="D53:E53"/>
    <mergeCell ref="F53:G53"/>
    <mergeCell ref="H53:K53"/>
    <mergeCell ref="H51:K51"/>
    <mergeCell ref="A52:B52"/>
    <mergeCell ref="C52:D52"/>
    <mergeCell ref="E52:G52"/>
    <mergeCell ref="A51:B51"/>
    <mergeCell ref="C51:D51"/>
    <mergeCell ref="A54:B58"/>
    <mergeCell ref="C54:C58"/>
    <mergeCell ref="D54:E58"/>
    <mergeCell ref="F54:G58"/>
    <mergeCell ref="H55:K55"/>
    <mergeCell ref="H57:K57"/>
    <mergeCell ref="H54:K54"/>
    <mergeCell ref="H56:K56"/>
    <mergeCell ref="H58:K58"/>
    <mergeCell ref="A65:K65"/>
    <mergeCell ref="A59:K59"/>
    <mergeCell ref="A60:K60"/>
    <mergeCell ref="A61:A62"/>
    <mergeCell ref="B61:K62"/>
    <mergeCell ref="A63:K63"/>
    <mergeCell ref="A64:K64"/>
  </mergeCells>
  <dataValidations disablePrompts="1"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Foglio22"/>
  <dimension ref="A1:X211"/>
  <sheetViews>
    <sheetView showGridLines="0" zoomScaleNormal="100" zoomScaleSheetLayoutView="100" workbookViewId="0">
      <selection activeCell="H53" sqref="H53:K53"/>
    </sheetView>
  </sheetViews>
  <sheetFormatPr defaultColWidth="10.7109375" defaultRowHeight="12.75"/>
  <cols>
    <col min="1" max="1" width="9.140625" style="211" customWidth="1"/>
    <col min="2" max="2" width="17.85546875" style="211" customWidth="1"/>
    <col min="3" max="3" width="12.7109375" style="211" customWidth="1"/>
    <col min="4" max="4" width="6.28515625" style="213" customWidth="1"/>
    <col min="5" max="5" width="18.7109375" style="211" customWidth="1"/>
    <col min="6" max="6" width="3.42578125" style="214" customWidth="1"/>
    <col min="7" max="8" width="9.7109375" style="211" customWidth="1"/>
    <col min="9" max="9" width="8.7109375" style="214" customWidth="1"/>
    <col min="10" max="10" width="12.42578125" style="211" customWidth="1"/>
    <col min="11" max="11" width="5.85546875" style="211" customWidth="1"/>
    <col min="12" max="16384" width="10.7109375" style="211"/>
  </cols>
  <sheetData>
    <row r="1" spans="1:24" ht="12.75" customHeight="1">
      <c r="A1" s="631"/>
      <c r="B1" s="631"/>
      <c r="C1" s="632"/>
      <c r="D1" s="633"/>
      <c r="E1" s="632"/>
      <c r="F1" s="636"/>
      <c r="G1" s="215"/>
      <c r="H1" s="244"/>
      <c r="I1" s="245"/>
      <c r="J1" s="245"/>
      <c r="K1" s="210"/>
    </row>
    <row r="2" spans="1:24" ht="12.75" customHeight="1">
      <c r="A2" s="632"/>
      <c r="B2" s="632"/>
      <c r="C2" s="632"/>
      <c r="D2" s="633"/>
      <c r="E2" s="632"/>
      <c r="F2" s="636"/>
      <c r="G2" s="215"/>
      <c r="H2" s="216" t="s">
        <v>796</v>
      </c>
      <c r="I2" s="217"/>
      <c r="J2" s="217"/>
      <c r="K2" s="215"/>
      <c r="P2" s="217"/>
    </row>
    <row r="3" spans="1:24" ht="12.75" customHeight="1">
      <c r="A3" s="632"/>
      <c r="B3" s="632"/>
      <c r="C3" s="632"/>
      <c r="D3" s="633"/>
      <c r="E3" s="632"/>
      <c r="F3" s="636"/>
      <c r="G3" s="215"/>
      <c r="H3" s="218"/>
      <c r="I3" s="211"/>
      <c r="J3" s="217"/>
      <c r="K3" s="215"/>
      <c r="P3" s="217"/>
    </row>
    <row r="4" spans="1:24" ht="12.75" customHeight="1">
      <c r="A4" s="632"/>
      <c r="B4" s="632"/>
      <c r="C4" s="632"/>
      <c r="D4" s="633"/>
      <c r="E4" s="632"/>
      <c r="F4" s="636"/>
      <c r="G4" s="215"/>
      <c r="H4" s="218" t="s">
        <v>797</v>
      </c>
      <c r="I4" s="211"/>
      <c r="J4" s="217"/>
      <c r="K4" s="215"/>
      <c r="P4" s="217"/>
    </row>
    <row r="5" spans="1:24" ht="12.75" customHeight="1">
      <c r="A5" s="632"/>
      <c r="B5" s="632"/>
      <c r="C5" s="632"/>
      <c r="D5" s="633"/>
      <c r="E5" s="632"/>
      <c r="F5" s="636"/>
      <c r="G5" s="215"/>
      <c r="H5" s="218" t="s">
        <v>798</v>
      </c>
      <c r="I5" s="211"/>
      <c r="J5" s="217"/>
      <c r="K5" s="215"/>
      <c r="N5" s="217"/>
    </row>
    <row r="6" spans="1:24" ht="12.75" customHeight="1">
      <c r="A6" s="632"/>
      <c r="B6" s="632"/>
      <c r="C6" s="632"/>
      <c r="D6" s="633"/>
      <c r="E6" s="632"/>
      <c r="F6" s="636"/>
      <c r="G6" s="215"/>
      <c r="H6" s="218" t="s">
        <v>799</v>
      </c>
      <c r="J6" s="217"/>
      <c r="K6" s="215"/>
    </row>
    <row r="7" spans="1:24" ht="12.75" customHeight="1">
      <c r="A7" s="220"/>
      <c r="B7" s="220"/>
      <c r="C7" s="220"/>
      <c r="D7" s="221"/>
      <c r="E7" s="220"/>
      <c r="F7" s="398"/>
      <c r="G7" s="223"/>
      <c r="H7" s="224" t="s">
        <v>800</v>
      </c>
      <c r="I7" s="222"/>
      <c r="J7" s="220"/>
      <c r="K7" s="223"/>
    </row>
    <row r="8" spans="1:24">
      <c r="A8" s="747" t="s">
        <v>537</v>
      </c>
      <c r="B8" s="733"/>
      <c r="C8" s="747" t="s">
        <v>538</v>
      </c>
      <c r="D8" s="733"/>
      <c r="E8" s="747" t="s">
        <v>539</v>
      </c>
      <c r="F8" s="733"/>
      <c r="G8" s="747" t="s">
        <v>540</v>
      </c>
      <c r="H8" s="731"/>
      <c r="I8" s="731"/>
      <c r="J8" s="737" t="s">
        <v>541</v>
      </c>
      <c r="K8" s="739"/>
    </row>
    <row r="9" spans="1:24">
      <c r="A9" s="757" t="s">
        <v>542</v>
      </c>
      <c r="B9" s="758"/>
      <c r="C9" s="759">
        <v>45428</v>
      </c>
      <c r="D9" s="760"/>
      <c r="E9" s="761"/>
      <c r="F9" s="761"/>
      <c r="G9" s="762"/>
      <c r="H9" s="763"/>
      <c r="I9" s="764"/>
      <c r="J9" s="757" t="s">
        <v>258</v>
      </c>
      <c r="K9" s="758"/>
    </row>
    <row r="10" spans="1:24">
      <c r="A10" s="737" t="s">
        <v>543</v>
      </c>
      <c r="B10" s="738"/>
      <c r="C10" s="738"/>
      <c r="D10" s="738"/>
      <c r="E10" s="738"/>
      <c r="F10" s="738"/>
      <c r="G10" s="738"/>
      <c r="H10" s="738"/>
      <c r="I10" s="738"/>
      <c r="J10" s="738"/>
      <c r="K10" s="739"/>
    </row>
    <row r="11" spans="1:24">
      <c r="A11" s="219" t="s">
        <v>761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3"/>
    </row>
    <row r="12" spans="1:24" ht="30.6" customHeight="1">
      <c r="A12" s="231" t="s">
        <v>544</v>
      </c>
      <c r="B12" s="748" t="s">
        <v>545</v>
      </c>
      <c r="C12" s="749"/>
      <c r="D12" s="749"/>
      <c r="E12" s="750"/>
      <c r="F12" s="232" t="s">
        <v>546</v>
      </c>
      <c r="G12" s="231" t="s">
        <v>547</v>
      </c>
      <c r="H12" s="231" t="s">
        <v>548</v>
      </c>
      <c r="I12" s="231" t="s">
        <v>549</v>
      </c>
      <c r="J12" s="231" t="s">
        <v>550</v>
      </c>
      <c r="K12" s="231" t="s">
        <v>551</v>
      </c>
    </row>
    <row r="13" spans="1:24" ht="12.95" customHeight="1">
      <c r="A13" s="241"/>
      <c r="B13" s="542" t="s">
        <v>552</v>
      </c>
      <c r="C13" s="229"/>
      <c r="D13" s="229"/>
      <c r="E13" s="230"/>
      <c r="F13" s="238"/>
      <c r="G13" s="239"/>
      <c r="H13" s="572"/>
      <c r="I13" s="239" t="str">
        <f>IF(A13="","",ROUND(G13/VLOOKUP(A13,bhpc_data[],9,FALSE),0))</f>
        <v/>
      </c>
      <c r="J13" s="572"/>
      <c r="K13" s="239"/>
      <c r="N13" s="217"/>
    </row>
    <row r="14" spans="1:24" ht="15">
      <c r="A14" s="556" t="str">
        <f t="array" ref="A14">IFERROR(INDEX(productsSku, SMALL(IF(productsQty&lt;&gt;0, ROW(productsQty)-ROW('BHPC MANAGER'!$CD$10)+1), ROW(L1))), "")</f>
        <v>P06003</v>
      </c>
      <c r="B14" s="263" t="str">
        <f t="array" ref="B14">IFERROR(INDEX(productsDescription, SMALL(IF(productsQty&lt;&gt;0, ROW(productsQty)-ROW('BHPC MANAGER'!$CD$10)+1), ROW(L1))), "")</f>
        <v>BHPC PRESTIGE TITAN 100ML EDP MEN</v>
      </c>
      <c r="C14"/>
      <c r="D14"/>
      <c r="E14" s="209"/>
      <c r="F14" s="240" t="str">
        <f t="shared" ref="F14:F37" si="0">IF(A14="","","PC")</f>
        <v>PC</v>
      </c>
      <c r="G14" s="240">
        <f t="array" ref="G14">IFERROR(INDEX(productsQty, SMALL(IF(productsQty&lt;&gt;0, ROW(productsQty)-ROW('BHPC MANAGER'!$CD$10)+1), ROW(L1))), "")</f>
        <v>720</v>
      </c>
      <c r="H14" s="573">
        <f t="array" ref="H14">IFERROR(INDEX(productsSalePrice, SMALL(IF(productsQty&lt;&gt;0, ROW(productsQty)-ROW('BHPC MANAGER'!$CD$10)+1), ROW(L1))), "")</f>
        <v>11.68</v>
      </c>
      <c r="I14" s="240">
        <f>IF(A14="","",ROUND(G14/VLOOKUP(A14,bhpc_data[],9,FALSE),0))</f>
        <v>30</v>
      </c>
      <c r="J14" s="573">
        <f t="shared" ref="J14:J37" si="1">IF(A14="","",G14*H14)</f>
        <v>8409.6</v>
      </c>
      <c r="K14" s="240" t="str">
        <f t="shared" ref="K14:K37" si="2">IF(A14="","",$C$108)</f>
        <v>053</v>
      </c>
      <c r="N14" s="214"/>
      <c r="S14" s="81"/>
      <c r="T14" s="81"/>
      <c r="U14" s="235"/>
      <c r="V14" s="81"/>
      <c r="W14" s="235"/>
      <c r="X14" s="81"/>
    </row>
    <row r="15" spans="1:24" ht="15">
      <c r="A15" s="556" t="str">
        <f t="array" ref="A15">IFERROR(INDEX(productsSku, SMALL(IF(productsQty&lt;&gt;0, ROW(productsQty)-ROW('BHPC MANAGER'!$CD$10)+1), ROW(L2))), "")</f>
        <v/>
      </c>
      <c r="B15" s="263" t="str">
        <f t="array" ref="B15">IFERROR(INDEX(productsDescription, SMALL(IF(productsQty&lt;&gt;0, ROW(productsQty)-ROW('BHPC MANAGER'!$CD$10)+1), ROW(L2))), "")</f>
        <v/>
      </c>
      <c r="C15"/>
      <c r="D15"/>
      <c r="E15" s="209"/>
      <c r="F15" s="240" t="str">
        <f t="shared" si="0"/>
        <v/>
      </c>
      <c r="G15" s="240" t="str">
        <f t="array" ref="G15">IFERROR(INDEX(productsQty, SMALL(IF(productsQty&lt;&gt;0, ROW(productsQty)-ROW('BHPC MANAGER'!$CD$10)+1), ROW(L2))), "")</f>
        <v/>
      </c>
      <c r="H15" s="573" t="str">
        <f t="array" ref="H15">IFERROR(INDEX(productsSalePrice, SMALL(IF(productsQty&lt;&gt;0, ROW(productsQty)-ROW('BHPC MANAGER'!$CD$10)+1), ROW(L2))), "")</f>
        <v/>
      </c>
      <c r="I15" s="240" t="str">
        <f>IF(A15="","",ROUND(G15/VLOOKUP(A15,bhpc_data[],9,FALSE),0))</f>
        <v/>
      </c>
      <c r="J15" s="573" t="str">
        <f t="shared" si="1"/>
        <v/>
      </c>
      <c r="K15" s="240" t="str">
        <f t="shared" si="2"/>
        <v/>
      </c>
      <c r="N15" s="217"/>
    </row>
    <row r="16" spans="1:24" ht="15">
      <c r="A16" s="556" t="str">
        <f t="array" ref="A16">IFERROR(INDEX(productsSku, SMALL(IF(productsQty&lt;&gt;0, ROW(productsQty)-ROW('BHPC MANAGER'!$CD$10)+1), ROW(L3))), "")</f>
        <v/>
      </c>
      <c r="B16" s="263" t="str">
        <f t="array" ref="B16">IFERROR(INDEX(productsDescription, SMALL(IF(productsQty&lt;&gt;0, ROW(productsQty)-ROW('BHPC MANAGER'!$CD$10)+1), ROW(L3))), "")</f>
        <v/>
      </c>
      <c r="C16"/>
      <c r="D16"/>
      <c r="E16" s="209"/>
      <c r="F16" s="240" t="str">
        <f t="shared" si="0"/>
        <v/>
      </c>
      <c r="G16" s="240" t="str">
        <f t="array" ref="G16">IFERROR(INDEX(productsQty, SMALL(IF(productsQty&lt;&gt;0, ROW(productsQty)-ROW('BHPC MANAGER'!$CD$10)+1), ROW(L3))), "")</f>
        <v/>
      </c>
      <c r="H16" s="573" t="str">
        <f t="array" ref="H16">IFERROR(INDEX(productsSalePrice, SMALL(IF(productsQty&lt;&gt;0, ROW(productsQty)-ROW('BHPC MANAGER'!$CD$10)+1), ROW(L3))), "")</f>
        <v/>
      </c>
      <c r="I16" s="240" t="str">
        <f>IF(A16="","",ROUND(G16/VLOOKUP(A16,bhpc_data[],9,FALSE),0))</f>
        <v/>
      </c>
      <c r="J16" s="573" t="str">
        <f t="shared" si="1"/>
        <v/>
      </c>
      <c r="K16" s="240" t="str">
        <f t="shared" si="2"/>
        <v/>
      </c>
      <c r="N16" s="214"/>
      <c r="S16" s="81"/>
      <c r="T16" s="81"/>
      <c r="U16" s="235"/>
      <c r="V16" s="81"/>
      <c r="W16" s="235"/>
      <c r="X16" s="81"/>
    </row>
    <row r="17" spans="1:24" ht="15">
      <c r="A17" s="556" t="str">
        <f t="array" ref="A17">IFERROR(INDEX(productsSku, SMALL(IF(productsQty&lt;&gt;0, ROW(productsQty)-ROW('BHPC MANAGER'!$CD$10)+1), ROW(L4))), "")</f>
        <v/>
      </c>
      <c r="B17" s="263" t="str">
        <f t="array" ref="B17">IFERROR(INDEX(productsDescription, SMALL(IF(productsQty&lt;&gt;0, ROW(productsQty)-ROW('BHPC MANAGER'!$CD$10)+1), ROW(L4))), "")</f>
        <v/>
      </c>
      <c r="C17"/>
      <c r="D17"/>
      <c r="E17" s="209"/>
      <c r="F17" s="240" t="str">
        <f t="shared" si="0"/>
        <v/>
      </c>
      <c r="G17" s="240" t="str">
        <f t="array" ref="G17">IFERROR(INDEX(productsQty, SMALL(IF(productsQty&lt;&gt;0, ROW(productsQty)-ROW('BHPC MANAGER'!$CD$10)+1), ROW(L4))), "")</f>
        <v/>
      </c>
      <c r="H17" s="573" t="str">
        <f t="array" ref="H17">IFERROR(INDEX(productsSalePrice, SMALL(IF(productsQty&lt;&gt;0, ROW(productsQty)-ROW('BHPC MANAGER'!$CD$10)+1), ROW(L4))), "")</f>
        <v/>
      </c>
      <c r="I17" s="240" t="str">
        <f>IF(A17="","",ROUND(G17/VLOOKUP(A17,bhpc_data[],9,FALSE),0))</f>
        <v/>
      </c>
      <c r="J17" s="573" t="str">
        <f t="shared" si="1"/>
        <v/>
      </c>
      <c r="K17" s="240" t="str">
        <f t="shared" si="2"/>
        <v/>
      </c>
      <c r="N17" s="217"/>
    </row>
    <row r="18" spans="1:24" ht="15">
      <c r="A18" s="556" t="str">
        <f t="array" ref="A18">IFERROR(INDEX(productsSku, SMALL(IF(productsQty&lt;&gt;0, ROW(productsQty)-ROW('BHPC MANAGER'!$CD$10)+1), ROW(L5))), "")</f>
        <v/>
      </c>
      <c r="B18" s="263" t="str">
        <f t="array" ref="B18">IFERROR(INDEX(productsDescription, SMALL(IF(productsQty&lt;&gt;0, ROW(productsQty)-ROW('BHPC MANAGER'!$CD$10)+1), ROW(L5))), "")</f>
        <v/>
      </c>
      <c r="C18"/>
      <c r="D18"/>
      <c r="E18" s="209"/>
      <c r="F18" s="240" t="str">
        <f t="shared" si="0"/>
        <v/>
      </c>
      <c r="G18" s="240" t="str">
        <f t="array" ref="G18">IFERROR(INDEX(productsQty, SMALL(IF(productsQty&lt;&gt;0, ROW(productsQty)-ROW('BHPC MANAGER'!$CD$10)+1), ROW(L5))), "")</f>
        <v/>
      </c>
      <c r="H18" s="573" t="str">
        <f t="array" ref="H18">IFERROR(INDEX(productsSalePrice, SMALL(IF(productsQty&lt;&gt;0, ROW(productsQty)-ROW('BHPC MANAGER'!$CD$10)+1), ROW(L5))), "")</f>
        <v/>
      </c>
      <c r="I18" s="240" t="str">
        <f>IF(A18="","",ROUND(G18/VLOOKUP(A18,bhpc_data[],9,FALSE),0))</f>
        <v/>
      </c>
      <c r="J18" s="573" t="str">
        <f t="shared" si="1"/>
        <v/>
      </c>
      <c r="K18" s="240" t="str">
        <f t="shared" si="2"/>
        <v/>
      </c>
      <c r="N18" s="214"/>
      <c r="S18" s="81"/>
      <c r="T18" s="81"/>
      <c r="U18" s="235"/>
      <c r="V18" s="81"/>
      <c r="W18" s="235"/>
      <c r="X18" s="81"/>
    </row>
    <row r="19" spans="1:24" ht="15">
      <c r="A19" s="556" t="str">
        <f t="array" ref="A19">IFERROR(INDEX(productsSku, SMALL(IF(productsQty&lt;&gt;0, ROW(productsQty)-ROW('BHPC MANAGER'!$CD$10)+1), ROW(L6))), "")</f>
        <v/>
      </c>
      <c r="B19" s="263" t="str">
        <f t="array" ref="B19">IFERROR(INDEX(productsDescription, SMALL(IF(productsQty&lt;&gt;0, ROW(productsQty)-ROW('BHPC MANAGER'!$CD$10)+1), ROW(L6))), "")</f>
        <v/>
      </c>
      <c r="C19"/>
      <c r="D19"/>
      <c r="E19" s="209"/>
      <c r="F19" s="240" t="str">
        <f t="shared" si="0"/>
        <v/>
      </c>
      <c r="G19" s="240" t="str">
        <f t="array" ref="G19">IFERROR(INDEX(productsQty, SMALL(IF(productsQty&lt;&gt;0, ROW(productsQty)-ROW('BHPC MANAGER'!$CD$10)+1), ROW(L6))), "")</f>
        <v/>
      </c>
      <c r="H19" s="573" t="str">
        <f t="array" ref="H19">IFERROR(INDEX(productsSalePrice, SMALL(IF(productsQty&lt;&gt;0, ROW(productsQty)-ROW('BHPC MANAGER'!$CD$10)+1), ROW(L6))), "")</f>
        <v/>
      </c>
      <c r="I19" s="240" t="str">
        <f>IF(A19="","",ROUND(G19/VLOOKUP(A19,bhpc_data[],9,FALSE),0))</f>
        <v/>
      </c>
      <c r="J19" s="573" t="str">
        <f t="shared" si="1"/>
        <v/>
      </c>
      <c r="K19" s="240" t="str">
        <f t="shared" si="2"/>
        <v/>
      </c>
    </row>
    <row r="20" spans="1:24" ht="15">
      <c r="A20" s="556" t="str">
        <f t="array" ref="A20">IFERROR(INDEX(productsSku, SMALL(IF(productsQty&lt;&gt;0, ROW(productsQty)-ROW('BHPC MANAGER'!$CD$10)+1), ROW(L7))), "")</f>
        <v/>
      </c>
      <c r="B20" s="263" t="str">
        <f t="array" ref="B20">IFERROR(INDEX(productsDescription, SMALL(IF(productsQty&lt;&gt;0, ROW(productsQty)-ROW('BHPC MANAGER'!$CD$10)+1), ROW(L7))), "")</f>
        <v/>
      </c>
      <c r="C20"/>
      <c r="D20"/>
      <c r="E20" s="209"/>
      <c r="F20" s="240" t="str">
        <f t="shared" si="0"/>
        <v/>
      </c>
      <c r="G20" s="240" t="str">
        <f t="array" ref="G20">IFERROR(INDEX(productsQty, SMALL(IF(productsQty&lt;&gt;0, ROW(productsQty)-ROW('BHPC MANAGER'!$CD$10)+1), ROW(L7))), "")</f>
        <v/>
      </c>
      <c r="H20" s="573" t="str">
        <f t="array" ref="H20">IFERROR(INDEX(productsSalePrice, SMALL(IF(productsQty&lt;&gt;0, ROW(productsQty)-ROW('BHPC MANAGER'!$CD$10)+1), ROW(L7))), "")</f>
        <v/>
      </c>
      <c r="I20" s="240" t="str">
        <f>IF(A20="","",ROUND(G20/VLOOKUP(A20,bhpc_data[],9,FALSE),0))</f>
        <v/>
      </c>
      <c r="J20" s="573" t="str">
        <f t="shared" si="1"/>
        <v/>
      </c>
      <c r="K20" s="240" t="str">
        <f t="shared" si="2"/>
        <v/>
      </c>
    </row>
    <row r="21" spans="1:24" ht="15">
      <c r="A21" s="556" t="str">
        <f t="array" ref="A21">IFERROR(INDEX(productsSku, SMALL(IF(productsQty&lt;&gt;0, ROW(productsQty)-ROW('BHPC MANAGER'!$CD$10)+1), ROW(L8))), "")</f>
        <v/>
      </c>
      <c r="B21" s="263" t="str">
        <f t="array" ref="B21">IFERROR(INDEX(productsDescription, SMALL(IF(productsQty&lt;&gt;0, ROW(productsQty)-ROW('BHPC MANAGER'!$CD$10)+1), ROW(L8))), "")</f>
        <v/>
      </c>
      <c r="C21"/>
      <c r="D21"/>
      <c r="E21" s="209"/>
      <c r="F21" s="240" t="str">
        <f t="shared" si="0"/>
        <v/>
      </c>
      <c r="G21" s="240" t="str">
        <f t="array" ref="G21">IFERROR(INDEX(productsQty, SMALL(IF(productsQty&lt;&gt;0, ROW(productsQty)-ROW('BHPC MANAGER'!$CD$10)+1), ROW(L8))), "")</f>
        <v/>
      </c>
      <c r="H21" s="573" t="str">
        <f t="array" ref="H21">IFERROR(INDEX(productsSalePrice, SMALL(IF(productsQty&lt;&gt;0, ROW(productsQty)-ROW('BHPC MANAGER'!$CD$10)+1), ROW(L8))), "")</f>
        <v/>
      </c>
      <c r="I21" s="240" t="str">
        <f>IF(A21="","",ROUND(G21/VLOOKUP(A21,bhpc_data[],9,FALSE),0))</f>
        <v/>
      </c>
      <c r="J21" s="573" t="str">
        <f t="shared" si="1"/>
        <v/>
      </c>
      <c r="K21" s="240" t="str">
        <f t="shared" si="2"/>
        <v/>
      </c>
    </row>
    <row r="22" spans="1:24" ht="15">
      <c r="A22" s="556" t="str">
        <f t="array" ref="A22">IFERROR(INDEX(productsSku, SMALL(IF(productsQty&lt;&gt;0, ROW(productsQty)-ROW('BHPC MANAGER'!$CD$10)+1), ROW(L9))), "")</f>
        <v/>
      </c>
      <c r="B22" s="263" t="str">
        <f t="array" ref="B22">IFERROR(INDEX(productsDescription, SMALL(IF(productsQty&lt;&gt;0, ROW(productsQty)-ROW('BHPC MANAGER'!$CD$10)+1), ROW(L9))), "")</f>
        <v/>
      </c>
      <c r="C22"/>
      <c r="D22"/>
      <c r="E22" s="209"/>
      <c r="F22" s="240" t="str">
        <f t="shared" si="0"/>
        <v/>
      </c>
      <c r="G22" s="240" t="str">
        <f t="array" ref="G22">IFERROR(INDEX(productsQty, SMALL(IF(productsQty&lt;&gt;0, ROW(productsQty)-ROW('BHPC MANAGER'!$CD$10)+1), ROW(L9))), "")</f>
        <v/>
      </c>
      <c r="H22" s="573" t="str">
        <f t="array" ref="H22">IFERROR(INDEX(productsSalePrice, SMALL(IF(productsQty&lt;&gt;0, ROW(productsQty)-ROW('BHPC MANAGER'!$CD$10)+1), ROW(L9))), "")</f>
        <v/>
      </c>
      <c r="I22" s="240" t="str">
        <f>IF(A22="","",ROUND(G22/VLOOKUP(A22,bhpc_data[],9,FALSE),0))</f>
        <v/>
      </c>
      <c r="J22" s="573" t="str">
        <f t="shared" si="1"/>
        <v/>
      </c>
      <c r="K22" s="240" t="str">
        <f t="shared" si="2"/>
        <v/>
      </c>
    </row>
    <row r="23" spans="1:24" ht="15">
      <c r="A23" s="556" t="str">
        <f t="array" ref="A23">IFERROR(INDEX(productsSku, SMALL(IF(productsQty&lt;&gt;0, ROW(productsQty)-ROW('BHPC MANAGER'!$CD$10)+1), ROW(L10))), "")</f>
        <v/>
      </c>
      <c r="B23" s="263" t="str">
        <f t="array" ref="B23">IFERROR(INDEX(productsDescription, SMALL(IF(productsQty&lt;&gt;0, ROW(productsQty)-ROW('BHPC MANAGER'!$CD$10)+1), ROW(L10))), "")</f>
        <v/>
      </c>
      <c r="C23"/>
      <c r="D23"/>
      <c r="E23" s="209"/>
      <c r="F23" s="240" t="str">
        <f t="shared" si="0"/>
        <v/>
      </c>
      <c r="G23" s="240" t="str">
        <f t="array" ref="G23">IFERROR(INDEX(productsQty, SMALL(IF(productsQty&lt;&gt;0, ROW(productsQty)-ROW('BHPC MANAGER'!$CD$10)+1), ROW(L10))), "")</f>
        <v/>
      </c>
      <c r="H23" s="573" t="str">
        <f t="array" ref="H23">IFERROR(INDEX(productsSalePrice, SMALL(IF(productsQty&lt;&gt;0, ROW(productsQty)-ROW('BHPC MANAGER'!$CD$10)+1), ROW(L10))), "")</f>
        <v/>
      </c>
      <c r="I23" s="240" t="str">
        <f>IF(A23="","",ROUND(G23/VLOOKUP(A23,bhpc_data[],9,FALSE),0))</f>
        <v/>
      </c>
      <c r="J23" s="573" t="str">
        <f t="shared" si="1"/>
        <v/>
      </c>
      <c r="K23" s="240" t="str">
        <f t="shared" si="2"/>
        <v/>
      </c>
    </row>
    <row r="24" spans="1:24" ht="15">
      <c r="A24" s="556" t="str">
        <f t="array" ref="A24">IFERROR(INDEX(productsSku, SMALL(IF(productsQty&lt;&gt;0, ROW(productsQty)-ROW('BHPC MANAGER'!$CD$10)+1), ROW(L11))), "")</f>
        <v/>
      </c>
      <c r="B24" s="263" t="str">
        <f t="array" ref="B24">IFERROR(INDEX(productsDescription, SMALL(IF(productsQty&lt;&gt;0, ROW(productsQty)-ROW('BHPC MANAGER'!$CD$10)+1), ROW(L11))), "")</f>
        <v/>
      </c>
      <c r="C24"/>
      <c r="D24"/>
      <c r="E24" s="209"/>
      <c r="F24" s="240" t="str">
        <f t="shared" si="0"/>
        <v/>
      </c>
      <c r="G24" s="240" t="str">
        <f t="array" ref="G24">IFERROR(INDEX(productsQty, SMALL(IF(productsQty&lt;&gt;0, ROW(productsQty)-ROW('BHPC MANAGER'!$CD$10)+1), ROW(L11))), "")</f>
        <v/>
      </c>
      <c r="H24" s="573" t="str">
        <f t="array" ref="H24">IFERROR(INDEX(productsSalePrice, SMALL(IF(productsQty&lt;&gt;0, ROW(productsQty)-ROW('BHPC MANAGER'!$CD$10)+1), ROW(L11))), "")</f>
        <v/>
      </c>
      <c r="I24" s="240" t="str">
        <f>IF(A24="","",ROUND(G24/VLOOKUP(A24,bhpc_data[],9,FALSE),0))</f>
        <v/>
      </c>
      <c r="J24" s="573" t="str">
        <f t="shared" si="1"/>
        <v/>
      </c>
      <c r="K24" s="240" t="str">
        <f t="shared" si="2"/>
        <v/>
      </c>
    </row>
    <row r="25" spans="1:24" ht="15">
      <c r="A25" s="556" t="str">
        <f t="array" ref="A25">IFERROR(INDEX(productsSku, SMALL(IF(productsQty&lt;&gt;0, ROW(productsQty)-ROW('BHPC MANAGER'!$CD$10)+1), ROW(L12))), "")</f>
        <v/>
      </c>
      <c r="B25" s="263" t="str">
        <f t="array" ref="B25">IFERROR(INDEX(productsDescription, SMALL(IF(productsQty&lt;&gt;0, ROW(productsQty)-ROW('BHPC MANAGER'!$CD$10)+1), ROW(L12))), "")</f>
        <v/>
      </c>
      <c r="C25"/>
      <c r="D25"/>
      <c r="E25" s="209"/>
      <c r="F25" s="240" t="str">
        <f t="shared" si="0"/>
        <v/>
      </c>
      <c r="G25" s="240" t="str">
        <f t="array" ref="G25">IFERROR(INDEX(productsQty, SMALL(IF(productsQty&lt;&gt;0, ROW(productsQty)-ROW('BHPC MANAGER'!$CD$10)+1), ROW(L12))), "")</f>
        <v/>
      </c>
      <c r="H25" s="573" t="str">
        <f t="array" ref="H25">IFERROR(INDEX(productsSalePrice, SMALL(IF(productsQty&lt;&gt;0, ROW(productsQty)-ROW('BHPC MANAGER'!$CD$10)+1), ROW(L12))), "")</f>
        <v/>
      </c>
      <c r="I25" s="240" t="str">
        <f>IF(A25="","",ROUND(G25/VLOOKUP(A25,bhpc_data[],9,FALSE),0))</f>
        <v/>
      </c>
      <c r="J25" s="573" t="str">
        <f t="shared" si="1"/>
        <v/>
      </c>
      <c r="K25" s="240" t="str">
        <f t="shared" si="2"/>
        <v/>
      </c>
    </row>
    <row r="26" spans="1:24" ht="15">
      <c r="A26" s="556" t="str">
        <f t="array" ref="A26">IFERROR(INDEX(productsSku, SMALL(IF(productsQty&lt;&gt;0, ROW(productsQty)-ROW('BHPC MANAGER'!$CD$10)+1), ROW(L13))), "")</f>
        <v/>
      </c>
      <c r="B26" s="263" t="str">
        <f t="array" ref="B26">IFERROR(INDEX(productsDescription, SMALL(IF(productsQty&lt;&gt;0, ROW(productsQty)-ROW('BHPC MANAGER'!$CD$10)+1), ROW(L13))), "")</f>
        <v/>
      </c>
      <c r="C26"/>
      <c r="D26"/>
      <c r="E26" s="209"/>
      <c r="F26" s="240" t="str">
        <f t="shared" si="0"/>
        <v/>
      </c>
      <c r="G26" s="240" t="str">
        <f t="array" ref="G26">IFERROR(INDEX(productsQty, SMALL(IF(productsQty&lt;&gt;0, ROW(productsQty)-ROW('BHPC MANAGER'!$CD$10)+1), ROW(L13))), "")</f>
        <v/>
      </c>
      <c r="H26" s="573" t="str">
        <f t="array" ref="H26">IFERROR(INDEX(productsSalePrice, SMALL(IF(productsQty&lt;&gt;0, ROW(productsQty)-ROW('BHPC MANAGER'!$CD$10)+1), ROW(L13))), "")</f>
        <v/>
      </c>
      <c r="I26" s="240" t="str">
        <f>IF(A26="","",ROUND(G26/VLOOKUP(A26,bhpc_data[],9,FALSE),0))</f>
        <v/>
      </c>
      <c r="J26" s="573" t="str">
        <f t="shared" si="1"/>
        <v/>
      </c>
      <c r="K26" s="240" t="str">
        <f t="shared" si="2"/>
        <v/>
      </c>
    </row>
    <row r="27" spans="1:24" ht="15">
      <c r="A27" s="556" t="str">
        <f t="array" ref="A27">IFERROR(INDEX(productsSku, SMALL(IF(productsQty&lt;&gt;0, ROW(productsQty)-ROW('BHPC MANAGER'!$CD$10)+1), ROW(L14))), "")</f>
        <v/>
      </c>
      <c r="B27" s="263" t="str">
        <f t="array" ref="B27">IFERROR(INDEX(productsDescription, SMALL(IF(productsQty&lt;&gt;0, ROW(productsQty)-ROW('BHPC MANAGER'!$CD$10)+1), ROW(L14))), "")</f>
        <v/>
      </c>
      <c r="C27"/>
      <c r="D27"/>
      <c r="E27" s="209"/>
      <c r="F27" s="240" t="str">
        <f t="shared" si="0"/>
        <v/>
      </c>
      <c r="G27" s="240" t="str">
        <f t="array" ref="G27">IFERROR(INDEX(productsQty, SMALL(IF(productsQty&lt;&gt;0, ROW(productsQty)-ROW('BHPC MANAGER'!$CD$10)+1), ROW(L14))), "")</f>
        <v/>
      </c>
      <c r="H27" s="573" t="str">
        <f t="array" ref="H27">IFERROR(INDEX(productsSalePrice, SMALL(IF(productsQty&lt;&gt;0, ROW(productsQty)-ROW('BHPC MANAGER'!$CD$10)+1), ROW(L14))), "")</f>
        <v/>
      </c>
      <c r="I27" s="240" t="str">
        <f>IF(A27="","",ROUND(G27/VLOOKUP(A27,bhpc_data[],9,FALSE),0))</f>
        <v/>
      </c>
      <c r="J27" s="573" t="str">
        <f t="shared" si="1"/>
        <v/>
      </c>
      <c r="K27" s="240" t="str">
        <f t="shared" si="2"/>
        <v/>
      </c>
    </row>
    <row r="28" spans="1:24" ht="15">
      <c r="A28" s="556" t="str">
        <f t="array" ref="A28">IFERROR(INDEX(productsSku, SMALL(IF(productsQty&lt;&gt;0, ROW(productsQty)-ROW('BHPC MANAGER'!$CD$10)+1), ROW(L15))), "")</f>
        <v/>
      </c>
      <c r="B28" s="263" t="str">
        <f t="array" ref="B28">IFERROR(INDEX(productsDescription, SMALL(IF(productsQty&lt;&gt;0, ROW(productsQty)-ROW('BHPC MANAGER'!$CD$10)+1), ROW(L15))), "")</f>
        <v/>
      </c>
      <c r="C28"/>
      <c r="D28"/>
      <c r="E28" s="209"/>
      <c r="F28" s="240" t="str">
        <f t="shared" si="0"/>
        <v/>
      </c>
      <c r="G28" s="240" t="str">
        <f t="array" ref="G28">IFERROR(INDEX(productsQty, SMALL(IF(productsQty&lt;&gt;0, ROW(productsQty)-ROW('BHPC MANAGER'!$CD$10)+1), ROW(L15))), "")</f>
        <v/>
      </c>
      <c r="H28" s="573" t="str">
        <f t="array" ref="H28">IFERROR(INDEX(productsSalePrice, SMALL(IF(productsQty&lt;&gt;0, ROW(productsQty)-ROW('BHPC MANAGER'!$CD$10)+1), ROW(L15))), "")</f>
        <v/>
      </c>
      <c r="I28" s="240" t="str">
        <f>IF(A28="","",ROUND(G28/VLOOKUP(A28,bhpc_data[],9,FALSE),0))</f>
        <v/>
      </c>
      <c r="J28" s="573" t="str">
        <f t="shared" si="1"/>
        <v/>
      </c>
      <c r="K28" s="240" t="str">
        <f t="shared" si="2"/>
        <v/>
      </c>
    </row>
    <row r="29" spans="1:24" ht="15">
      <c r="A29" s="556" t="str">
        <f t="array" ref="A29">IFERROR(INDEX(productsSku, SMALL(IF(productsQty&lt;&gt;0, ROW(productsQty)-ROW('BHPC MANAGER'!$CD$10)+1), ROW(L16))), "")</f>
        <v/>
      </c>
      <c r="B29" s="263" t="str">
        <f t="array" ref="B29">IFERROR(INDEX(productsDescription, SMALL(IF(productsQty&lt;&gt;0, ROW(productsQty)-ROW('BHPC MANAGER'!$CD$10)+1), ROW(L16))), "")</f>
        <v/>
      </c>
      <c r="C29"/>
      <c r="D29"/>
      <c r="E29" s="209"/>
      <c r="F29" s="240" t="str">
        <f t="shared" si="0"/>
        <v/>
      </c>
      <c r="G29" s="240" t="str">
        <f t="array" ref="G29">IFERROR(INDEX(productsQty, SMALL(IF(productsQty&lt;&gt;0, ROW(productsQty)-ROW('BHPC MANAGER'!$CD$10)+1), ROW(L16))), "")</f>
        <v/>
      </c>
      <c r="H29" s="573" t="str">
        <f t="array" ref="H29">IFERROR(INDEX(productsSalePrice, SMALL(IF(productsQty&lt;&gt;0, ROW(productsQty)-ROW('BHPC MANAGER'!$CD$10)+1), ROW(L16))), "")</f>
        <v/>
      </c>
      <c r="I29" s="240" t="str">
        <f>IF(A29="","",ROUND(G29/VLOOKUP(A29,bhpc_data[],9,FALSE),0))</f>
        <v/>
      </c>
      <c r="J29" s="573" t="str">
        <f t="shared" si="1"/>
        <v/>
      </c>
      <c r="K29" s="240" t="str">
        <f t="shared" si="2"/>
        <v/>
      </c>
    </row>
    <row r="30" spans="1:24" ht="15">
      <c r="A30" s="556" t="str">
        <f t="array" ref="A30">IFERROR(INDEX(productsSku, SMALL(IF(productsQty&lt;&gt;0, ROW(productsQty)-ROW('BHPC MANAGER'!$CD$10)+1), ROW(L17))), "")</f>
        <v/>
      </c>
      <c r="B30" s="263" t="str">
        <f t="array" ref="B30">IFERROR(INDEX(productsDescription, SMALL(IF(productsQty&lt;&gt;0, ROW(productsQty)-ROW('BHPC MANAGER'!$CD$10)+1), ROW(L17))), "")</f>
        <v/>
      </c>
      <c r="C30"/>
      <c r="D30"/>
      <c r="E30" s="209"/>
      <c r="F30" s="240" t="str">
        <f t="shared" si="0"/>
        <v/>
      </c>
      <c r="G30" s="240" t="str">
        <f t="array" ref="G30">IFERROR(INDEX(productsQty, SMALL(IF(productsQty&lt;&gt;0, ROW(productsQty)-ROW('BHPC MANAGER'!$CD$10)+1), ROW(L17))), "")</f>
        <v/>
      </c>
      <c r="H30" s="573" t="str">
        <f t="array" ref="H30">IFERROR(INDEX(productsSalePrice, SMALL(IF(productsQty&lt;&gt;0, ROW(productsQty)-ROW('BHPC MANAGER'!$CD$10)+1), ROW(L17))), "")</f>
        <v/>
      </c>
      <c r="I30" s="240" t="str">
        <f>IF(A30="","",ROUND(G30/VLOOKUP(A30,bhpc_data[],9,FALSE),0))</f>
        <v/>
      </c>
      <c r="J30" s="573" t="str">
        <f t="shared" si="1"/>
        <v/>
      </c>
      <c r="K30" s="240" t="str">
        <f t="shared" si="2"/>
        <v/>
      </c>
    </row>
    <row r="31" spans="1:24" ht="15">
      <c r="A31" s="556" t="str">
        <f t="array" ref="A31">IFERROR(INDEX(productsSku, SMALL(IF(productsQty&lt;&gt;0, ROW(productsQty)-ROW('BHPC MANAGER'!$CD$10)+1), ROW(L18))), "")</f>
        <v/>
      </c>
      <c r="B31" s="263" t="str">
        <f t="array" ref="B31">IFERROR(INDEX(productsDescription, SMALL(IF(productsQty&lt;&gt;0, ROW(productsQty)-ROW('BHPC MANAGER'!$CD$10)+1), ROW(L18))), "")</f>
        <v/>
      </c>
      <c r="C31"/>
      <c r="D31"/>
      <c r="E31" s="209"/>
      <c r="F31" s="240" t="str">
        <f t="shared" si="0"/>
        <v/>
      </c>
      <c r="G31" s="240" t="str">
        <f t="array" ref="G31">IFERROR(INDEX(productsQty, SMALL(IF(productsQty&lt;&gt;0, ROW(productsQty)-ROW('BHPC MANAGER'!$CD$10)+1), ROW(L18))), "")</f>
        <v/>
      </c>
      <c r="H31" s="573" t="str">
        <f t="array" ref="H31">IFERROR(INDEX(productsSalePrice, SMALL(IF(productsQty&lt;&gt;0, ROW(productsQty)-ROW('BHPC MANAGER'!$CD$10)+1), ROW(L18))), "")</f>
        <v/>
      </c>
      <c r="I31" s="240" t="str">
        <f>IF(A31="","",ROUND(G31/VLOOKUP(A31,bhpc_data[],9,FALSE),0))</f>
        <v/>
      </c>
      <c r="J31" s="573" t="str">
        <f t="shared" si="1"/>
        <v/>
      </c>
      <c r="K31" s="240" t="str">
        <f t="shared" si="2"/>
        <v/>
      </c>
    </row>
    <row r="32" spans="1:24" ht="15">
      <c r="A32" s="556" t="str">
        <f t="array" ref="A32">IFERROR(INDEX(productsSku, SMALL(IF(productsQty&lt;&gt;0, ROW(productsQty)-ROW('BHPC MANAGER'!$CD$10)+1), ROW(L19))), "")</f>
        <v/>
      </c>
      <c r="B32" s="263" t="str">
        <f t="array" ref="B32">IFERROR(INDEX(productsDescription, SMALL(IF(productsQty&lt;&gt;0, ROW(productsQty)-ROW('BHPC MANAGER'!$CD$10)+1), ROW(L19))), "")</f>
        <v/>
      </c>
      <c r="C32"/>
      <c r="D32"/>
      <c r="E32" s="209"/>
      <c r="F32" s="240" t="str">
        <f t="shared" si="0"/>
        <v/>
      </c>
      <c r="G32" s="240" t="str">
        <f t="array" ref="G32">IFERROR(INDEX(productsQty, SMALL(IF(productsQty&lt;&gt;0, ROW(productsQty)-ROW('BHPC MANAGER'!$CD$10)+1), ROW(L19))), "")</f>
        <v/>
      </c>
      <c r="H32" s="573" t="str">
        <f t="array" ref="H32">IFERROR(INDEX(productsSalePrice, SMALL(IF(productsQty&lt;&gt;0, ROW(productsQty)-ROW('BHPC MANAGER'!$CD$10)+1), ROW(L19))), "")</f>
        <v/>
      </c>
      <c r="I32" s="240" t="str">
        <f>IF(A32="","",ROUND(G32/VLOOKUP(A32,bhpc_data[],9,FALSE),0))</f>
        <v/>
      </c>
      <c r="J32" s="573" t="str">
        <f t="shared" si="1"/>
        <v/>
      </c>
      <c r="K32" s="240" t="str">
        <f t="shared" si="2"/>
        <v/>
      </c>
    </row>
    <row r="33" spans="1:11" ht="15">
      <c r="A33" s="556" t="str">
        <f t="array" ref="A33">IFERROR(INDEX(productsSku, SMALL(IF(productsQty&lt;&gt;0, ROW(productsQty)-ROW('BHPC MANAGER'!$CD$10)+1), ROW(L20))), "")</f>
        <v/>
      </c>
      <c r="B33" s="263" t="str">
        <f t="array" ref="B33">IFERROR(INDEX(productsDescription, SMALL(IF(productsQty&lt;&gt;0, ROW(productsQty)-ROW('BHPC MANAGER'!$CD$10)+1), ROW(L20))), "")</f>
        <v/>
      </c>
      <c r="C33"/>
      <c r="D33"/>
      <c r="E33" s="209"/>
      <c r="F33" s="240" t="str">
        <f t="shared" si="0"/>
        <v/>
      </c>
      <c r="G33" s="240" t="str">
        <f t="array" ref="G33">IFERROR(INDEX(productsQty, SMALL(IF(productsQty&lt;&gt;0, ROW(productsQty)-ROW('BHPC MANAGER'!$CD$10)+1), ROW(L20))), "")</f>
        <v/>
      </c>
      <c r="H33" s="573" t="str">
        <f t="array" ref="H33">IFERROR(INDEX(productsSalePrice, SMALL(IF(productsQty&lt;&gt;0, ROW(productsQty)-ROW('BHPC MANAGER'!$CD$10)+1), ROW(L20))), "")</f>
        <v/>
      </c>
      <c r="I33" s="240" t="str">
        <f>IF(A33="","",ROUND(G33/VLOOKUP(A33,bhpc_data[],9,FALSE),0))</f>
        <v/>
      </c>
      <c r="J33" s="573" t="str">
        <f t="shared" si="1"/>
        <v/>
      </c>
      <c r="K33" s="240" t="str">
        <f t="shared" si="2"/>
        <v/>
      </c>
    </row>
    <row r="34" spans="1:11" ht="15">
      <c r="A34" s="556" t="str">
        <f t="array" ref="A34">IFERROR(INDEX(productsSku, SMALL(IF(productsQty&lt;&gt;0, ROW(productsQty)-ROW('BHPC MANAGER'!$CD$10)+1), ROW(L21))), "")</f>
        <v/>
      </c>
      <c r="B34" s="263" t="str">
        <f t="array" ref="B34">IFERROR(INDEX(productsDescription, SMALL(IF(productsQty&lt;&gt;0, ROW(productsQty)-ROW('BHPC MANAGER'!$CD$10)+1), ROW(L21))), "")</f>
        <v/>
      </c>
      <c r="C34"/>
      <c r="D34"/>
      <c r="E34" s="209"/>
      <c r="F34" s="240" t="str">
        <f t="shared" si="0"/>
        <v/>
      </c>
      <c r="G34" s="240" t="str">
        <f t="array" ref="G34">IFERROR(INDEX(productsQty, SMALL(IF(productsQty&lt;&gt;0, ROW(productsQty)-ROW('BHPC MANAGER'!$CD$10)+1), ROW(L21))), "")</f>
        <v/>
      </c>
      <c r="H34" s="573" t="str">
        <f t="array" ref="H34">IFERROR(INDEX(productsSalePrice, SMALL(IF(productsQty&lt;&gt;0, ROW(productsQty)-ROW('BHPC MANAGER'!$CD$10)+1), ROW(L21))), "")</f>
        <v/>
      </c>
      <c r="I34" s="240" t="str">
        <f>IF(A34="","",ROUND(G34/VLOOKUP(A34,bhpc_data[],9,FALSE),0))</f>
        <v/>
      </c>
      <c r="J34" s="573" t="str">
        <f t="shared" si="1"/>
        <v/>
      </c>
      <c r="K34" s="240" t="str">
        <f t="shared" si="2"/>
        <v/>
      </c>
    </row>
    <row r="35" spans="1:11" ht="15">
      <c r="A35" s="556" t="str">
        <f t="array" ref="A35">IFERROR(INDEX(productsSku, SMALL(IF(productsQty&lt;&gt;0, ROW(productsQty)-ROW('BHPC MANAGER'!$CD$10)+1), ROW(L22))), "")</f>
        <v/>
      </c>
      <c r="B35" s="263" t="str">
        <f t="array" ref="B35">IFERROR(INDEX(productsDescription, SMALL(IF(productsQty&lt;&gt;0, ROW(productsQty)-ROW('BHPC MANAGER'!$CD$10)+1), ROW(L22))), "")</f>
        <v/>
      </c>
      <c r="C35"/>
      <c r="D35"/>
      <c r="E35" s="209"/>
      <c r="F35" s="240" t="str">
        <f t="shared" si="0"/>
        <v/>
      </c>
      <c r="G35" s="240" t="str">
        <f t="array" ref="G35">IFERROR(INDEX(productsQty, SMALL(IF(productsQty&lt;&gt;0, ROW(productsQty)-ROW('BHPC MANAGER'!$CD$10)+1), ROW(L22))), "")</f>
        <v/>
      </c>
      <c r="H35" s="573" t="str">
        <f t="array" ref="H35">IFERROR(INDEX(productsSalePrice, SMALL(IF(productsQty&lt;&gt;0, ROW(productsQty)-ROW('BHPC MANAGER'!$CD$10)+1), ROW(L22))), "")</f>
        <v/>
      </c>
      <c r="I35" s="240" t="str">
        <f>IF(A35="","",ROUND(G35/VLOOKUP(A35,bhpc_data[],9,FALSE),0))</f>
        <v/>
      </c>
      <c r="J35" s="573" t="str">
        <f t="shared" si="1"/>
        <v/>
      </c>
      <c r="K35" s="240" t="str">
        <f t="shared" si="2"/>
        <v/>
      </c>
    </row>
    <row r="36" spans="1:11" ht="15">
      <c r="A36" s="556" t="str">
        <f t="array" ref="A36">IFERROR(INDEX(productsSku, SMALL(IF(productsQty&lt;&gt;0, ROW(productsQty)-ROW('BHPC MANAGER'!$CD$10)+1), ROW(L23))), "")</f>
        <v/>
      </c>
      <c r="B36" s="263" t="str">
        <f t="array" ref="B36">IFERROR(INDEX(productsDescription, SMALL(IF(productsQty&lt;&gt;0, ROW(productsQty)-ROW('BHPC MANAGER'!$CD$10)+1), ROW(L23))), "")</f>
        <v/>
      </c>
      <c r="C36"/>
      <c r="D36"/>
      <c r="E36" s="209"/>
      <c r="F36" s="240" t="str">
        <f t="shared" si="0"/>
        <v/>
      </c>
      <c r="G36" s="240" t="str">
        <f t="array" ref="G36">IFERROR(INDEX(productsQty, SMALL(IF(productsQty&lt;&gt;0, ROW(productsQty)-ROW('BHPC MANAGER'!$CD$10)+1), ROW(L23))), "")</f>
        <v/>
      </c>
      <c r="H36" s="573" t="str">
        <f t="array" ref="H36">IFERROR(INDEX(productsSalePrice, SMALL(IF(productsQty&lt;&gt;0, ROW(productsQty)-ROW('BHPC MANAGER'!$CD$10)+1), ROW(L23))), "")</f>
        <v/>
      </c>
      <c r="I36" s="240" t="str">
        <f>IF(A36="","",ROUND(G36/VLOOKUP(A36,bhpc_data[],9,FALSE),0))</f>
        <v/>
      </c>
      <c r="J36" s="573" t="str">
        <f t="shared" si="1"/>
        <v/>
      </c>
      <c r="K36" s="240" t="str">
        <f t="shared" si="2"/>
        <v/>
      </c>
    </row>
    <row r="37" spans="1:11" ht="15">
      <c r="A37" s="556" t="str">
        <f t="array" ref="A37">IFERROR(INDEX(productsSku, SMALL(IF(productsQty&lt;&gt;0, ROW(productsQty)-ROW('BHPC MANAGER'!$CD$10)+1), ROW(L24))), "")</f>
        <v/>
      </c>
      <c r="B37" s="263" t="str">
        <f t="array" ref="B37">IFERROR(INDEX(productsDescription, SMALL(IF(productsQty&lt;&gt;0, ROW(productsQty)-ROW('BHPC MANAGER'!$CD$10)+1), ROW(L24))), "")</f>
        <v/>
      </c>
      <c r="C37"/>
      <c r="D37"/>
      <c r="E37" s="209"/>
      <c r="F37" s="240" t="str">
        <f t="shared" si="0"/>
        <v/>
      </c>
      <c r="G37" s="240" t="str">
        <f t="array" ref="G37">IFERROR(INDEX(productsQty, SMALL(IF(productsQty&lt;&gt;0, ROW(productsQty)-ROW('BHPC MANAGER'!$CD$10)+1), ROW(L24))), "")</f>
        <v/>
      </c>
      <c r="H37" s="573" t="str">
        <f t="array" ref="H37">IFERROR(INDEX(productsSalePrice, SMALL(IF(productsQty&lt;&gt;0, ROW(productsQty)-ROW('BHPC MANAGER'!$CD$10)+1), ROW(L24))), "")</f>
        <v/>
      </c>
      <c r="I37" s="240" t="str">
        <f>IF(A37="","",ROUND(G37/VLOOKUP(A37,bhpc_data[],9,FALSE),0))</f>
        <v/>
      </c>
      <c r="J37" s="573" t="str">
        <f t="shared" si="1"/>
        <v/>
      </c>
      <c r="K37" s="240" t="str">
        <f t="shared" si="2"/>
        <v/>
      </c>
    </row>
    <row r="38" spans="1:11" ht="15">
      <c r="A38" s="556"/>
      <c r="B38" s="263"/>
      <c r="C38"/>
      <c r="D38"/>
      <c r="E38" s="209"/>
      <c r="F38" s="240"/>
      <c r="G38" s="240"/>
      <c r="H38" s="573"/>
      <c r="I38" s="240" t="str">
        <f>IF(A38="","",ROUND(G38/VLOOKUP(A38,bhpc_data[],9,FALSE),0))</f>
        <v/>
      </c>
      <c r="J38" s="573"/>
      <c r="K38" s="240"/>
    </row>
    <row r="39" spans="1:11" ht="15">
      <c r="A39" s="556"/>
      <c r="B39" s="263"/>
      <c r="C39"/>
      <c r="D39"/>
      <c r="E39" s="209"/>
      <c r="F39" s="240"/>
      <c r="G39" s="240"/>
      <c r="H39" s="573"/>
      <c r="I39" s="240" t="str">
        <f>IF(A39="","",ROUND(G39/VLOOKUP(A39,bhpc_data[],9,FALSE),0))</f>
        <v/>
      </c>
      <c r="J39" s="573"/>
      <c r="K39" s="240"/>
    </row>
    <row r="40" spans="1:11" ht="15">
      <c r="A40" s="556"/>
      <c r="B40" s="263"/>
      <c r="C40"/>
      <c r="D40"/>
      <c r="E40" s="209"/>
      <c r="F40" s="240"/>
      <c r="G40" s="240"/>
      <c r="H40" s="573"/>
      <c r="I40" s="240" t="str">
        <f>IF(A40="","",ROUND(G40/VLOOKUP(A40,bhpc_data[],9,FALSE),0))</f>
        <v/>
      </c>
      <c r="J40" s="573"/>
      <c r="K40" s="240"/>
    </row>
    <row r="41" spans="1:11" ht="15">
      <c r="A41" s="556"/>
      <c r="B41" s="263"/>
      <c r="C41"/>
      <c r="D41"/>
      <c r="E41" s="209"/>
      <c r="F41" s="240"/>
      <c r="G41" s="240"/>
      <c r="H41" s="573"/>
      <c r="I41" s="240" t="str">
        <f>IF(A41="","",ROUND(G41/VLOOKUP(A41,bhpc_data[],9,FALSE),0))</f>
        <v/>
      </c>
      <c r="J41" s="573"/>
      <c r="K41" s="240"/>
    </row>
    <row r="42" spans="1:11" ht="15">
      <c r="A42" s="556"/>
      <c r="B42" s="263"/>
      <c r="C42"/>
      <c r="D42"/>
      <c r="E42" s="209"/>
      <c r="F42" s="240"/>
      <c r="G42" s="240"/>
      <c r="H42" s="573"/>
      <c r="I42" s="240" t="str">
        <f>IF(A42="","",ROUND(G42/VLOOKUP(A42,bhpc_data[],9,FALSE),0))</f>
        <v/>
      </c>
      <c r="J42" s="573"/>
      <c r="K42" s="240"/>
    </row>
    <row r="43" spans="1:11" ht="15">
      <c r="A43" s="556"/>
      <c r="B43" s="263"/>
      <c r="C43"/>
      <c r="D43"/>
      <c r="E43" s="209"/>
      <c r="F43" s="240"/>
      <c r="G43" s="240"/>
      <c r="H43" s="573"/>
      <c r="I43" s="240" t="str">
        <f>IF(A43="","",ROUND(G43/VLOOKUP(A43,bhpc_data[],9,FALSE),0))</f>
        <v/>
      </c>
      <c r="J43" s="573"/>
      <c r="K43" s="240"/>
    </row>
    <row r="44" spans="1:11" ht="15">
      <c r="A44" s="556"/>
      <c r="B44" s="263"/>
      <c r="C44"/>
      <c r="D44"/>
      <c r="E44" s="209"/>
      <c r="F44" s="240"/>
      <c r="G44" s="240"/>
      <c r="H44" s="573"/>
      <c r="I44" s="240" t="str">
        <f>IF(A44="","",ROUND(G44/VLOOKUP(A44,bhpc_data[],9,FALSE),0))</f>
        <v/>
      </c>
      <c r="J44" s="573"/>
      <c r="K44" s="240"/>
    </row>
    <row r="45" spans="1:11" ht="15">
      <c r="A45" s="556"/>
      <c r="B45" s="263"/>
      <c r="C45"/>
      <c r="D45"/>
      <c r="E45" s="209"/>
      <c r="F45" s="240"/>
      <c r="G45" s="240"/>
      <c r="H45" s="573"/>
      <c r="I45" s="240" t="str">
        <f>IF(A45="","",ROUND(G45/VLOOKUP(A45,bhpc_data[],9,FALSE),0))</f>
        <v/>
      </c>
      <c r="J45" s="573"/>
      <c r="K45" s="240"/>
    </row>
    <row r="46" spans="1:11" ht="15">
      <c r="A46" s="556"/>
      <c r="B46" s="263"/>
      <c r="C46"/>
      <c r="D46"/>
      <c r="E46" s="209"/>
      <c r="F46" s="240"/>
      <c r="G46" s="240"/>
      <c r="H46" s="573"/>
      <c r="I46" s="240" t="str">
        <f>IF(A46="","",ROUND(G46/VLOOKUP(A46,bhpc_data[],9,FALSE),0))</f>
        <v/>
      </c>
      <c r="J46" s="573"/>
      <c r="K46" s="240"/>
    </row>
    <row r="47" spans="1:11" ht="15">
      <c r="A47" s="556"/>
      <c r="B47" s="263"/>
      <c r="C47"/>
      <c r="D47"/>
      <c r="E47" s="209"/>
      <c r="F47" s="240"/>
      <c r="G47" s="240"/>
      <c r="H47" s="573"/>
      <c r="I47" s="240" t="str">
        <f>IF(A47="","",ROUND(G47/VLOOKUP(A47,bhpc_data[],9,FALSE),0))</f>
        <v/>
      </c>
      <c r="J47" s="573"/>
      <c r="K47" s="240"/>
    </row>
    <row r="48" spans="1:11" ht="15">
      <c r="A48" s="556"/>
      <c r="B48" s="263"/>
      <c r="C48"/>
      <c r="D48"/>
      <c r="E48" s="209"/>
      <c r="F48" s="240"/>
      <c r="G48" s="240"/>
      <c r="H48" s="573"/>
      <c r="I48" s="240" t="str">
        <f>IF(A48="","",ROUND(G48/VLOOKUP(A48,bhpc_data[],9,FALSE),0))</f>
        <v/>
      </c>
      <c r="J48" s="573"/>
      <c r="K48" s="240"/>
    </row>
    <row r="49" spans="1:11" ht="15">
      <c r="A49" s="556"/>
      <c r="B49" s="263"/>
      <c r="C49"/>
      <c r="D49"/>
      <c r="E49" s="209"/>
      <c r="F49" s="240"/>
      <c r="G49" s="240"/>
      <c r="H49" s="573"/>
      <c r="I49" s="240" t="str">
        <f>IF(A49="","",ROUND(G49/VLOOKUP(A49,bhpc_data[],9,FALSE),0))</f>
        <v/>
      </c>
      <c r="J49" s="573"/>
      <c r="K49" s="240"/>
    </row>
    <row r="50" spans="1:11" ht="15">
      <c r="A50" s="556"/>
      <c r="B50" s="263"/>
      <c r="C50"/>
      <c r="D50"/>
      <c r="E50" s="209"/>
      <c r="F50" s="240"/>
      <c r="G50" s="240"/>
      <c r="H50" s="573"/>
      <c r="I50" s="240" t="str">
        <f>IF(A50="","",ROUND(G50/VLOOKUP(A50,bhpc_data[],9,FALSE),0))</f>
        <v/>
      </c>
      <c r="J50" s="573"/>
      <c r="K50" s="240"/>
    </row>
    <row r="51" spans="1:11" ht="15">
      <c r="A51" s="556"/>
      <c r="B51" s="263"/>
      <c r="C51"/>
      <c r="D51"/>
      <c r="E51" s="209"/>
      <c r="F51" s="240"/>
      <c r="G51" s="240"/>
      <c r="H51" s="573"/>
      <c r="I51" s="240" t="str">
        <f>IF(A51="","",ROUND(G51/VLOOKUP(A51,bhpc_data[],9,FALSE),0))</f>
        <v/>
      </c>
      <c r="J51" s="573"/>
      <c r="K51" s="240"/>
    </row>
    <row r="52" spans="1:11" ht="15">
      <c r="A52" s="556"/>
      <c r="B52" s="263"/>
      <c r="C52"/>
      <c r="D52"/>
      <c r="E52" s="209"/>
      <c r="F52" s="240"/>
      <c r="G52" s="240"/>
      <c r="H52" s="573"/>
      <c r="I52" s="240" t="str">
        <f>IF(A52="","",ROUND(G52/VLOOKUP(A52,bhpc_data[],9,FALSE),0))</f>
        <v/>
      </c>
      <c r="J52" s="573"/>
      <c r="K52" s="240"/>
    </row>
    <row r="53" spans="1:11" ht="15">
      <c r="A53" s="556"/>
      <c r="B53" s="263"/>
      <c r="C53"/>
      <c r="D53"/>
      <c r="E53" s="209"/>
      <c r="F53" s="240"/>
      <c r="G53" s="240"/>
      <c r="H53" s="573"/>
      <c r="I53" s="240" t="str">
        <f>IF(A53="","",ROUND(G53/VLOOKUP(A53,bhpc_data[],9,FALSE),0))</f>
        <v/>
      </c>
      <c r="J53" s="573"/>
      <c r="K53" s="240"/>
    </row>
    <row r="54" spans="1:11" ht="15">
      <c r="A54" s="556"/>
      <c r="B54" s="263"/>
      <c r="C54"/>
      <c r="D54"/>
      <c r="E54" s="209"/>
      <c r="F54" s="240"/>
      <c r="G54" s="240"/>
      <c r="H54" s="573"/>
      <c r="I54" s="240" t="str">
        <f>IF(A54="","",ROUND(G54/VLOOKUP(A54,bhpc_data[],9,FALSE),0))</f>
        <v/>
      </c>
      <c r="J54" s="573"/>
      <c r="K54" s="240"/>
    </row>
    <row r="55" spans="1:11" ht="15">
      <c r="A55" s="556"/>
      <c r="B55" s="263"/>
      <c r="C55"/>
      <c r="D55"/>
      <c r="E55" s="209"/>
      <c r="F55" s="240"/>
      <c r="G55" s="240"/>
      <c r="H55" s="573"/>
      <c r="I55" s="240" t="str">
        <f>IF(A55="","",ROUND(G55/VLOOKUP(A55,bhpc_data[],9,FALSE),0))</f>
        <v/>
      </c>
      <c r="J55" s="573"/>
      <c r="K55" s="240"/>
    </row>
    <row r="56" spans="1:11" ht="15">
      <c r="A56" s="556"/>
      <c r="B56" s="263"/>
      <c r="C56"/>
      <c r="D56"/>
      <c r="E56" s="209"/>
      <c r="F56" s="240"/>
      <c r="G56" s="240"/>
      <c r="H56" s="573"/>
      <c r="I56" s="240" t="str">
        <f>IF(A56="","",ROUND(G56/VLOOKUP(A56,bhpc_data[],9,FALSE),0))</f>
        <v/>
      </c>
      <c r="J56" s="573"/>
      <c r="K56" s="240"/>
    </row>
    <row r="57" spans="1:11" ht="15">
      <c r="A57" s="556"/>
      <c r="B57" s="263"/>
      <c r="C57"/>
      <c r="D57"/>
      <c r="E57" s="209"/>
      <c r="F57" s="240"/>
      <c r="G57" s="240"/>
      <c r="H57" s="573"/>
      <c r="I57" s="240" t="str">
        <f>IF(A57="","",ROUND(G57/VLOOKUP(A57,bhpc_data[],9,FALSE),0))</f>
        <v/>
      </c>
      <c r="J57" s="573"/>
      <c r="K57" s="240"/>
    </row>
    <row r="58" spans="1:11">
      <c r="A58" s="737"/>
      <c r="B58" s="739"/>
      <c r="C58" s="737"/>
      <c r="D58" s="739"/>
      <c r="E58" s="737" t="s">
        <v>568</v>
      </c>
      <c r="F58" s="738"/>
      <c r="G58" s="739"/>
      <c r="H58" s="767" t="s">
        <v>553</v>
      </c>
      <c r="I58" s="738"/>
      <c r="J58" s="768"/>
      <c r="K58" s="739"/>
    </row>
    <row r="59" spans="1:11" s="225" customFormat="1" ht="14.45" customHeight="1">
      <c r="A59" s="742"/>
      <c r="B59" s="743"/>
      <c r="C59" s="742"/>
      <c r="D59" s="743"/>
      <c r="E59" s="769">
        <f>SUM($J$13:$J$57)</f>
        <v>8409.6</v>
      </c>
      <c r="F59" s="770"/>
      <c r="G59" s="771"/>
      <c r="H59" s="776">
        <f>SUM(J14:J57)</f>
        <v>8409.6</v>
      </c>
      <c r="I59" s="735"/>
      <c r="J59" s="777"/>
      <c r="K59" s="736"/>
    </row>
    <row r="60" spans="1:11">
      <c r="A60" s="737" t="s">
        <v>554</v>
      </c>
      <c r="B60" s="739"/>
      <c r="C60" s="226" t="s">
        <v>555</v>
      </c>
      <c r="D60" s="737" t="s">
        <v>556</v>
      </c>
      <c r="E60" s="739"/>
      <c r="F60" s="737" t="s">
        <v>557</v>
      </c>
      <c r="G60" s="739"/>
      <c r="H60" s="765" t="s">
        <v>558</v>
      </c>
      <c r="I60" s="731"/>
      <c r="J60" s="766"/>
      <c r="K60" s="733"/>
    </row>
    <row r="61" spans="1:11" ht="14.45" customHeight="1">
      <c r="A61" s="716" t="str">
        <f>A108</f>
        <v>NON IMPONIBILE ART.8</v>
      </c>
      <c r="B61" s="717"/>
      <c r="C61" s="720" t="str">
        <f>C108</f>
        <v>053</v>
      </c>
      <c r="D61" s="722">
        <f>H59</f>
        <v>8409.6</v>
      </c>
      <c r="E61" s="723"/>
      <c r="F61" s="726">
        <f>IF(C61="022",22%,0)</f>
        <v>0</v>
      </c>
      <c r="G61" s="727"/>
      <c r="H61" s="776">
        <f>H59</f>
        <v>8409.6</v>
      </c>
      <c r="I61" s="735"/>
      <c r="J61" s="777"/>
      <c r="K61" s="736"/>
    </row>
    <row r="62" spans="1:11">
      <c r="A62" s="716"/>
      <c r="B62" s="717"/>
      <c r="C62" s="772"/>
      <c r="D62" s="722"/>
      <c r="E62" s="723"/>
      <c r="F62" s="726"/>
      <c r="G62" s="727"/>
      <c r="H62" s="765" t="s">
        <v>559</v>
      </c>
      <c r="I62" s="731"/>
      <c r="J62" s="766"/>
      <c r="K62" s="733"/>
    </row>
    <row r="63" spans="1:11" ht="14.45" customHeight="1">
      <c r="A63" s="716"/>
      <c r="B63" s="717"/>
      <c r="C63" s="772"/>
      <c r="D63" s="722"/>
      <c r="E63" s="723"/>
      <c r="F63" s="726"/>
      <c r="G63" s="727"/>
      <c r="H63" s="776">
        <f>SEJ61*F61</f>
        <v>0</v>
      </c>
      <c r="I63" s="735"/>
      <c r="J63" s="777"/>
      <c r="K63" s="736"/>
    </row>
    <row r="64" spans="1:11">
      <c r="A64" s="716"/>
      <c r="B64" s="717"/>
      <c r="C64" s="772"/>
      <c r="D64" s="722"/>
      <c r="E64" s="723"/>
      <c r="F64" s="726"/>
      <c r="G64" s="727"/>
      <c r="H64" s="765" t="s">
        <v>560</v>
      </c>
      <c r="I64" s="731"/>
      <c r="J64" s="766"/>
      <c r="K64" s="733"/>
    </row>
    <row r="65" spans="1:11" ht="14.45" customHeight="1">
      <c r="A65" s="718"/>
      <c r="B65" s="719"/>
      <c r="C65" s="773"/>
      <c r="D65" s="724"/>
      <c r="E65" s="725"/>
      <c r="F65" s="728"/>
      <c r="G65" s="729"/>
      <c r="H65" s="776">
        <f>H59+H63</f>
        <v>8409.6</v>
      </c>
      <c r="I65" s="735"/>
      <c r="J65" s="777"/>
      <c r="K65" s="736"/>
    </row>
    <row r="66" spans="1:11" ht="15">
      <c r="A66" s="246"/>
      <c r="B66" s="543" t="s">
        <v>569</v>
      </c>
      <c r="C66" s="247"/>
      <c r="D66" s="247"/>
      <c r="E66" s="248"/>
      <c r="F66" s="249"/>
      <c r="G66" s="250"/>
      <c r="H66" s="574"/>
      <c r="I66" s="250" t="str">
        <f>IF(A66="","",ROUND(G66/VLOOKUP(A66,bhpc_data[],9,FALSE),0))</f>
        <v/>
      </c>
      <c r="J66" s="574"/>
      <c r="K66" s="250"/>
    </row>
    <row r="67" spans="1:11" ht="15">
      <c r="A67" s="556" t="str">
        <f t="array" ref="A67">IFERROR(INDEX(productsSku, SMALL(IF(productsFocQty&lt;&gt;0, ROW(productsFocQty)-ROW('BHPC MANAGER'!$CD$10)+1), ROW(L1))), "")</f>
        <v/>
      </c>
      <c r="B67" s="263" t="str">
        <f t="array" ref="B67">IFERROR(INDEX(productsDescription, SMALL(IF(productsFocQty&lt;&gt;0, ROW(productsFocQty)-ROW('BHPC MANAGER'!$CD$10)+1), ROW(L1))), "")</f>
        <v/>
      </c>
      <c r="C67"/>
      <c r="D67"/>
      <c r="E67" s="209"/>
      <c r="F67" s="240" t="str">
        <f t="shared" ref="F67:F82" si="3">IF(A67="","","PC")</f>
        <v/>
      </c>
      <c r="G67" s="240" t="str">
        <f t="array" ref="G67">IFERROR(INDEX(productsFocQty, SMALL(IF(productsFocQty&lt;&gt;0, ROW(productsFocQty)-ROW('BHPC MANAGER'!$CD$10)+1), ROW(L1))), "")</f>
        <v/>
      </c>
      <c r="H67" s="573">
        <v>0</v>
      </c>
      <c r="I67" s="240" t="str">
        <f>IF(A67="","",ROUND(G67/VLOOKUP(A67,bhpc_data[],9,FALSE),0))</f>
        <v/>
      </c>
      <c r="J67" s="573" t="str">
        <f t="shared" ref="J67:J82" si="4">IF(A67="","",G67*H67)</f>
        <v/>
      </c>
      <c r="K67" s="240" t="str">
        <f t="shared" ref="K67:K82" si="5">IF(A67="","",$C$108)</f>
        <v/>
      </c>
    </row>
    <row r="68" spans="1:11" ht="15">
      <c r="A68" s="556" t="str">
        <f t="array" ref="A68">IFERROR(INDEX(productsSku, SMALL(IF(productsFocQty&lt;&gt;0, ROW(productsFocQty)-ROW('BHPC MANAGER'!$CD$10)+1), ROW(L2))), "")</f>
        <v/>
      </c>
      <c r="B68" s="263" t="str">
        <f t="array" ref="B68">IFERROR(INDEX(productsDescription, SMALL(IF(productsFocQty&lt;&gt;0, ROW(productsFocQty)-ROW('BHPC MANAGER'!$CD$10)+1), ROW(L2))), "")</f>
        <v/>
      </c>
      <c r="C68"/>
      <c r="D68"/>
      <c r="E68" s="209"/>
      <c r="F68" s="240" t="str">
        <f t="shared" si="3"/>
        <v/>
      </c>
      <c r="G68" s="240" t="str">
        <f t="array" ref="G68">IFERROR(INDEX(productsFocQty, SMALL(IF(productsFocQty&lt;&gt;0, ROW(productsFocQty)-ROW('BHPC MANAGER'!$CD$10)+1), ROW(L2))), "")</f>
        <v/>
      </c>
      <c r="H68" s="573">
        <v>0</v>
      </c>
      <c r="I68" s="240" t="str">
        <f>IF(A68="","",ROUND(G68/VLOOKUP(A68,bhpc_data[],9,FALSE),0))</f>
        <v/>
      </c>
      <c r="J68" s="573" t="str">
        <f t="shared" si="4"/>
        <v/>
      </c>
      <c r="K68" s="240" t="str">
        <f t="shared" si="5"/>
        <v/>
      </c>
    </row>
    <row r="69" spans="1:11" ht="15">
      <c r="A69" s="556" t="str">
        <f t="array" ref="A69">IFERROR(INDEX(productsSku, SMALL(IF(productsFocQty&lt;&gt;0, ROW(productsFocQty)-ROW('BHPC MANAGER'!$CD$10)+1), ROW(L3))), "")</f>
        <v/>
      </c>
      <c r="B69" s="263" t="str">
        <f t="array" ref="B69">IFERROR(INDEX(productsDescription, SMALL(IF(productsFocQty&lt;&gt;0, ROW(productsFocQty)-ROW('BHPC MANAGER'!$CD$10)+1), ROW(L3))), "")</f>
        <v/>
      </c>
      <c r="C69"/>
      <c r="D69"/>
      <c r="E69" s="209"/>
      <c r="F69" s="240" t="str">
        <f t="shared" si="3"/>
        <v/>
      </c>
      <c r="G69" s="240" t="str">
        <f t="array" ref="G69">IFERROR(INDEX(productsFocQty, SMALL(IF(productsFocQty&lt;&gt;0, ROW(productsFocQty)-ROW('BHPC MANAGER'!$CD$10)+1), ROW(L3))), "")</f>
        <v/>
      </c>
      <c r="H69" s="573">
        <v>0</v>
      </c>
      <c r="I69" s="240" t="str">
        <f>IF(A69="","",ROUND(G69/VLOOKUP(A69,bhpc_data[],9,FALSE),0))</f>
        <v/>
      </c>
      <c r="J69" s="573" t="str">
        <f t="shared" si="4"/>
        <v/>
      </c>
      <c r="K69" s="240" t="str">
        <f t="shared" si="5"/>
        <v/>
      </c>
    </row>
    <row r="70" spans="1:11" ht="15">
      <c r="A70" s="556" t="str">
        <f t="array" ref="A70">IFERROR(INDEX(productsSku, SMALL(IF(productsFocQty&lt;&gt;0, ROW(productsFocQty)-ROW('BHPC MANAGER'!$CD$10)+1), ROW(L4))), "")</f>
        <v/>
      </c>
      <c r="B70" s="263" t="str">
        <f t="array" ref="B70">IFERROR(INDEX(productsDescription, SMALL(IF(productsFocQty&lt;&gt;0, ROW(productsFocQty)-ROW('BHPC MANAGER'!$CD$10)+1), ROW(L4))), "")</f>
        <v/>
      </c>
      <c r="C70"/>
      <c r="D70"/>
      <c r="E70" s="209"/>
      <c r="F70" s="240" t="str">
        <f t="shared" si="3"/>
        <v/>
      </c>
      <c r="G70" s="240" t="str">
        <f t="array" ref="G70">IFERROR(INDEX(productsFocQty, SMALL(IF(productsFocQty&lt;&gt;0, ROW(productsFocQty)-ROW('BHPC MANAGER'!$CD$10)+1), ROW(L4))), "")</f>
        <v/>
      </c>
      <c r="H70" s="573">
        <v>0</v>
      </c>
      <c r="I70" s="240" t="str">
        <f>IF(A70="","",ROUND(G70/VLOOKUP(A70,bhpc_data[],9,FALSE),0))</f>
        <v/>
      </c>
      <c r="J70" s="573" t="str">
        <f t="shared" si="4"/>
        <v/>
      </c>
      <c r="K70" s="240" t="str">
        <f t="shared" si="5"/>
        <v/>
      </c>
    </row>
    <row r="71" spans="1:11" ht="15">
      <c r="A71" s="556" t="str">
        <f t="array" ref="A71">IFERROR(INDEX(productsSku, SMALL(IF(productsFocQty&lt;&gt;0, ROW(productsFocQty)-ROW('BHPC MANAGER'!$CD$10)+1), ROW(L5))), "")</f>
        <v/>
      </c>
      <c r="B71" s="263" t="str">
        <f t="array" ref="B71">IFERROR(INDEX(productsDescription, SMALL(IF(productsFocQty&lt;&gt;0, ROW(productsFocQty)-ROW('BHPC MANAGER'!$CD$10)+1), ROW(L5))), "")</f>
        <v/>
      </c>
      <c r="C71"/>
      <c r="D71"/>
      <c r="E71" s="209"/>
      <c r="F71" s="240" t="str">
        <f t="shared" si="3"/>
        <v/>
      </c>
      <c r="G71" s="240" t="str">
        <f t="array" ref="G71">IFERROR(INDEX(productsFocQty, SMALL(IF(productsFocQty&lt;&gt;0, ROW(productsFocQty)-ROW('BHPC MANAGER'!$CD$10)+1), ROW(L5))), "")</f>
        <v/>
      </c>
      <c r="H71" s="573">
        <v>0</v>
      </c>
      <c r="I71" s="240" t="str">
        <f>IF(A71="","",ROUND(G71/VLOOKUP(A71,bhpc_data[],9,FALSE),0))</f>
        <v/>
      </c>
      <c r="J71" s="573" t="str">
        <f t="shared" si="4"/>
        <v/>
      </c>
      <c r="K71" s="240" t="str">
        <f t="shared" si="5"/>
        <v/>
      </c>
    </row>
    <row r="72" spans="1:11" ht="15">
      <c r="A72" s="556" t="str">
        <f t="array" ref="A72">IFERROR(INDEX(productsSku, SMALL(IF(productsFocQty&lt;&gt;0, ROW(productsFocQty)-ROW('BHPC MANAGER'!$CD$10)+1), ROW(L6))), "")</f>
        <v/>
      </c>
      <c r="B72" s="263" t="str">
        <f t="array" ref="B72">IFERROR(INDEX(productsDescription, SMALL(IF(productsFocQty&lt;&gt;0, ROW(productsFocQty)-ROW('BHPC MANAGER'!$CD$10)+1), ROW(L6))), "")</f>
        <v/>
      </c>
      <c r="C72"/>
      <c r="D72"/>
      <c r="E72" s="209"/>
      <c r="F72" s="240" t="str">
        <f t="shared" si="3"/>
        <v/>
      </c>
      <c r="G72" s="240" t="str">
        <f t="array" ref="G72">IFERROR(INDEX(productsFocQty, SMALL(IF(productsFocQty&lt;&gt;0, ROW(productsFocQty)-ROW('BHPC MANAGER'!$CD$10)+1), ROW(L6))), "")</f>
        <v/>
      </c>
      <c r="H72" s="573">
        <v>0</v>
      </c>
      <c r="I72" s="240" t="str">
        <f>IF(A72="","",ROUND(G72/VLOOKUP(A72,bhpc_data[],9,FALSE),0))</f>
        <v/>
      </c>
      <c r="J72" s="573" t="str">
        <f t="shared" si="4"/>
        <v/>
      </c>
      <c r="K72" s="240" t="str">
        <f t="shared" si="5"/>
        <v/>
      </c>
    </row>
    <row r="73" spans="1:11" ht="15">
      <c r="A73" s="556" t="str">
        <f t="array" ref="A73">IFERROR(INDEX(productsSku, SMALL(IF(productsFocQty&lt;&gt;0, ROW(productsFocQty)-ROW('BHPC MANAGER'!$CD$10)+1), ROW(L7))), "")</f>
        <v/>
      </c>
      <c r="B73" s="263" t="str">
        <f t="array" ref="B73">IFERROR(INDEX(productsDescription, SMALL(IF(productsFocQty&lt;&gt;0, ROW(productsFocQty)-ROW('BHPC MANAGER'!$CD$10)+1), ROW(L7))), "")</f>
        <v/>
      </c>
      <c r="C73"/>
      <c r="D73"/>
      <c r="E73" s="209"/>
      <c r="F73" s="240" t="str">
        <f t="shared" si="3"/>
        <v/>
      </c>
      <c r="G73" s="240" t="str">
        <f t="array" ref="G73">IFERROR(INDEX(productsFocQty, SMALL(IF(productsFocQty&lt;&gt;0, ROW(productsFocQty)-ROW('BHPC MANAGER'!$CD$10)+1), ROW(L7))), "")</f>
        <v/>
      </c>
      <c r="H73" s="573">
        <v>0</v>
      </c>
      <c r="I73" s="240" t="str">
        <f>IF(A73="","",ROUND(G73/VLOOKUP(A73,bhpc_data[],9,FALSE),0))</f>
        <v/>
      </c>
      <c r="J73" s="573" t="str">
        <f t="shared" si="4"/>
        <v/>
      </c>
      <c r="K73" s="240" t="str">
        <f t="shared" si="5"/>
        <v/>
      </c>
    </row>
    <row r="74" spans="1:11" ht="15">
      <c r="A74" s="556" t="str">
        <f t="array" ref="A74">IFERROR(INDEX(productsSku, SMALL(IF(productsFocQty&lt;&gt;0, ROW(productsFocQty)-ROW('BHPC MANAGER'!$CD$10)+1), ROW(L8))), "")</f>
        <v/>
      </c>
      <c r="B74" s="263" t="str">
        <f t="array" ref="B74">IFERROR(INDEX(productsDescription, SMALL(IF(productsFocQty&lt;&gt;0, ROW(productsFocQty)-ROW('BHPC MANAGER'!$CD$10)+1), ROW(L8))), "")</f>
        <v/>
      </c>
      <c r="C74"/>
      <c r="D74"/>
      <c r="E74" s="209"/>
      <c r="F74" s="240" t="str">
        <f t="shared" si="3"/>
        <v/>
      </c>
      <c r="G74" s="240" t="str">
        <f t="array" ref="G74">IFERROR(INDEX(productsFocQty, SMALL(IF(productsFocQty&lt;&gt;0, ROW(productsFocQty)-ROW('BHPC MANAGER'!$CD$10)+1), ROW(L8))), "")</f>
        <v/>
      </c>
      <c r="H74" s="573">
        <v>0</v>
      </c>
      <c r="I74" s="240" t="str">
        <f>IF(A74="","",ROUND(G74/VLOOKUP(A74,bhpc_data[],9,FALSE),0))</f>
        <v/>
      </c>
      <c r="J74" s="573" t="str">
        <f t="shared" si="4"/>
        <v/>
      </c>
      <c r="K74" s="240" t="str">
        <f t="shared" si="5"/>
        <v/>
      </c>
    </row>
    <row r="75" spans="1:11" ht="15">
      <c r="A75" s="556" t="str">
        <f t="array" ref="A75">IFERROR(INDEX(productsSku, SMALL(IF(productsFocQty&lt;&gt;0, ROW(productsFocQty)-ROW('BHPC MANAGER'!$CD$10)+1), ROW(L9))), "")</f>
        <v/>
      </c>
      <c r="B75" s="263" t="str">
        <f t="array" ref="B75">IFERROR(INDEX(productsDescription, SMALL(IF(productsFocQty&lt;&gt;0, ROW(productsFocQty)-ROW('BHPC MANAGER'!$CD$10)+1), ROW(L9))), "")</f>
        <v/>
      </c>
      <c r="C75"/>
      <c r="D75"/>
      <c r="E75" s="209"/>
      <c r="F75" s="240" t="str">
        <f t="shared" si="3"/>
        <v/>
      </c>
      <c r="G75" s="240" t="str">
        <f t="array" ref="G75">IFERROR(INDEX(productsFocQty, SMALL(IF(productsFocQty&lt;&gt;0, ROW(productsFocQty)-ROW('BHPC MANAGER'!$CD$10)+1), ROW(L9))), "")</f>
        <v/>
      </c>
      <c r="H75" s="573">
        <v>0</v>
      </c>
      <c r="I75" s="240" t="str">
        <f>IF(A75="","",ROUND(G75/VLOOKUP(A75,bhpc_data[],9,FALSE),0))</f>
        <v/>
      </c>
      <c r="J75" s="573" t="str">
        <f t="shared" si="4"/>
        <v/>
      </c>
      <c r="K75" s="240" t="str">
        <f t="shared" si="5"/>
        <v/>
      </c>
    </row>
    <row r="76" spans="1:11" ht="15">
      <c r="A76" s="556" t="str">
        <f t="array" ref="A76">IFERROR(INDEX(productsSku, SMALL(IF(productsFocQty&lt;&gt;0, ROW(productsFocQty)-ROW('BHPC MANAGER'!$CD$10)+1), ROW(L10))), "")</f>
        <v/>
      </c>
      <c r="B76" s="263" t="str">
        <f t="array" ref="B76">IFERROR(INDEX(productsDescription, SMALL(IF(productsFocQty&lt;&gt;0, ROW(productsFocQty)-ROW('BHPC MANAGER'!$CD$10)+1), ROW(L10))), "")</f>
        <v/>
      </c>
      <c r="C76"/>
      <c r="D76"/>
      <c r="E76" s="209"/>
      <c r="F76" s="240" t="str">
        <f t="shared" si="3"/>
        <v/>
      </c>
      <c r="G76" s="240" t="str">
        <f t="array" ref="G76">IFERROR(INDEX(productsFocQty, SMALL(IF(productsFocQty&lt;&gt;0, ROW(productsFocQty)-ROW('BHPC MANAGER'!$CD$10)+1), ROW(L10))), "")</f>
        <v/>
      </c>
      <c r="H76" s="573">
        <v>0</v>
      </c>
      <c r="I76" s="240" t="str">
        <f>IF(A76="","",ROUND(G76/VLOOKUP(A76,bhpc_data[],9,FALSE),0))</f>
        <v/>
      </c>
      <c r="J76" s="573" t="str">
        <f t="shared" si="4"/>
        <v/>
      </c>
      <c r="K76" s="240" t="str">
        <f t="shared" si="5"/>
        <v/>
      </c>
    </row>
    <row r="77" spans="1:11" ht="15">
      <c r="A77" s="556" t="str">
        <f t="array" ref="A77">IFERROR(INDEX(productsSku, SMALL(IF(productsFocQty&lt;&gt;0, ROW(productsFocQty)-ROW('BHPC MANAGER'!$CD$10)+1), ROW(L11))), "")</f>
        <v/>
      </c>
      <c r="B77" s="263" t="str">
        <f t="array" ref="B77">IFERROR(INDEX(productsDescription, SMALL(IF(productsFocQty&lt;&gt;0, ROW(productsFocQty)-ROW('BHPC MANAGER'!$CD$10)+1), ROW(L11))), "")</f>
        <v/>
      </c>
      <c r="C77"/>
      <c r="D77"/>
      <c r="E77" s="209"/>
      <c r="F77" s="240" t="str">
        <f t="shared" si="3"/>
        <v/>
      </c>
      <c r="G77" s="240" t="str">
        <f t="array" ref="G77">IFERROR(INDEX(productsFocQty, SMALL(IF(productsFocQty&lt;&gt;0, ROW(productsFocQty)-ROW('BHPC MANAGER'!$CD$10)+1), ROW(L11))), "")</f>
        <v/>
      </c>
      <c r="H77" s="573">
        <v>0</v>
      </c>
      <c r="I77" s="240" t="str">
        <f>IF(A77="","",ROUND(G77/VLOOKUP(A77,bhpc_data[],9,FALSE),0))</f>
        <v/>
      </c>
      <c r="J77" s="573" t="str">
        <f t="shared" si="4"/>
        <v/>
      </c>
      <c r="K77" s="240" t="str">
        <f t="shared" si="5"/>
        <v/>
      </c>
    </row>
    <row r="78" spans="1:11" ht="15">
      <c r="A78" s="556" t="str">
        <f t="array" ref="A78">IFERROR(INDEX(productsSku, SMALL(IF(productsFocQty&lt;&gt;0, ROW(productsFocQty)-ROW('BHPC MANAGER'!$CD$10)+1), ROW(L12))), "")</f>
        <v/>
      </c>
      <c r="B78" s="263" t="str">
        <f t="array" ref="B78">IFERROR(INDEX(productsDescription, SMALL(IF(productsFocQty&lt;&gt;0, ROW(productsFocQty)-ROW('BHPC MANAGER'!$CD$10)+1), ROW(L12))), "")</f>
        <v/>
      </c>
      <c r="C78"/>
      <c r="D78"/>
      <c r="E78" s="209"/>
      <c r="F78" s="240" t="str">
        <f t="shared" si="3"/>
        <v/>
      </c>
      <c r="G78" s="240" t="str">
        <f t="array" ref="G78">IFERROR(INDEX(productsFocQty, SMALL(IF(productsFocQty&lt;&gt;0, ROW(productsFocQty)-ROW('BHPC MANAGER'!$CD$10)+1), ROW(L12))), "")</f>
        <v/>
      </c>
      <c r="H78" s="573">
        <v>0</v>
      </c>
      <c r="I78" s="240" t="str">
        <f>IF(A78="","",ROUND(G78/VLOOKUP(A78,bhpc_data[],9,FALSE),0))</f>
        <v/>
      </c>
      <c r="J78" s="573" t="str">
        <f t="shared" si="4"/>
        <v/>
      </c>
      <c r="K78" s="240" t="str">
        <f t="shared" si="5"/>
        <v/>
      </c>
    </row>
    <row r="79" spans="1:11" ht="15">
      <c r="A79" s="556" t="str">
        <f t="array" ref="A79">IFERROR(INDEX(productsSku, SMALL(IF(productsFocQty&lt;&gt;0, ROW(productsFocQty)-ROW('BHPC MANAGER'!$CD$10)+1), ROW(L13))), "")</f>
        <v/>
      </c>
      <c r="B79" s="263" t="str">
        <f t="array" ref="B79">IFERROR(INDEX(productsDescription, SMALL(IF(productsFocQty&lt;&gt;0, ROW(productsFocQty)-ROW('BHPC MANAGER'!$CD$10)+1), ROW(L13))), "")</f>
        <v/>
      </c>
      <c r="C79"/>
      <c r="D79"/>
      <c r="E79" s="209"/>
      <c r="F79" s="240" t="str">
        <f t="shared" si="3"/>
        <v/>
      </c>
      <c r="G79" s="240" t="str">
        <f t="array" ref="G79">IFERROR(INDEX(productsFocQty, SMALL(IF(productsFocQty&lt;&gt;0, ROW(productsFocQty)-ROW('BHPC MANAGER'!$CD$10)+1), ROW(L13))), "")</f>
        <v/>
      </c>
      <c r="H79" s="573">
        <v>0</v>
      </c>
      <c r="I79" s="240" t="str">
        <f>IF(A79="","",ROUND(G79/VLOOKUP(A79,bhpc_data[],9,FALSE),0))</f>
        <v/>
      </c>
      <c r="J79" s="573" t="str">
        <f t="shared" si="4"/>
        <v/>
      </c>
      <c r="K79" s="240" t="str">
        <f t="shared" si="5"/>
        <v/>
      </c>
    </row>
    <row r="80" spans="1:11" ht="15">
      <c r="A80" s="556" t="str">
        <f t="array" ref="A80">IFERROR(INDEX(productsSku, SMALL(IF(productsFocQty&lt;&gt;0, ROW(productsFocQty)-ROW('BHPC MANAGER'!$CD$10)+1), ROW(L14))), "")</f>
        <v/>
      </c>
      <c r="B80" s="263" t="str">
        <f t="array" ref="B80">IFERROR(INDEX(productsDescription, SMALL(IF(productsFocQty&lt;&gt;0, ROW(productsFocQty)-ROW('BHPC MANAGER'!$CD$10)+1), ROW(L14))), "")</f>
        <v/>
      </c>
      <c r="C80"/>
      <c r="D80"/>
      <c r="E80" s="209"/>
      <c r="F80" s="240" t="str">
        <f t="shared" si="3"/>
        <v/>
      </c>
      <c r="G80" s="240" t="str">
        <f t="array" ref="G80">IFERROR(INDEX(productsFocQty, SMALL(IF(productsFocQty&lt;&gt;0, ROW(productsFocQty)-ROW('BHPC MANAGER'!$CD$10)+1), ROW(L14))), "")</f>
        <v/>
      </c>
      <c r="H80" s="573">
        <v>0</v>
      </c>
      <c r="I80" s="240" t="str">
        <f>IF(A80="","",ROUND(G80/VLOOKUP(A80,bhpc_data[],9,FALSE),0))</f>
        <v/>
      </c>
      <c r="J80" s="573" t="str">
        <f t="shared" si="4"/>
        <v/>
      </c>
      <c r="K80" s="240" t="str">
        <f t="shared" si="5"/>
        <v/>
      </c>
    </row>
    <row r="81" spans="1:11" ht="15">
      <c r="A81" s="556" t="str">
        <f t="array" ref="A81">IFERROR(INDEX(productsSku, SMALL(IF(productsFocQty&lt;&gt;0, ROW(productsFocQty)-ROW('BHPC MANAGER'!$CD$10)+1), ROW(L15))), "")</f>
        <v/>
      </c>
      <c r="B81" s="263" t="str">
        <f t="array" ref="B81">IFERROR(INDEX(productsDescription, SMALL(IF(productsFocQty&lt;&gt;0, ROW(productsFocQty)-ROW('BHPC MANAGER'!$CD$10)+1), ROW(L15))), "")</f>
        <v/>
      </c>
      <c r="C81"/>
      <c r="D81"/>
      <c r="E81" s="209"/>
      <c r="F81" s="240" t="str">
        <f t="shared" si="3"/>
        <v/>
      </c>
      <c r="G81" s="240" t="str">
        <f t="array" ref="G81">IFERROR(INDEX(productsFocQty, SMALL(IF(productsFocQty&lt;&gt;0, ROW(productsFocQty)-ROW('BHPC MANAGER'!$CD$10)+1), ROW(L15))), "")</f>
        <v/>
      </c>
      <c r="H81" s="573">
        <v>0</v>
      </c>
      <c r="I81" s="240" t="str">
        <f>IF(A81="","",ROUND(G81/VLOOKUP(A81,bhpc_data[],9,FALSE),0))</f>
        <v/>
      </c>
      <c r="J81" s="573" t="str">
        <f t="shared" si="4"/>
        <v/>
      </c>
      <c r="K81" s="240" t="str">
        <f t="shared" si="5"/>
        <v/>
      </c>
    </row>
    <row r="82" spans="1:11" ht="15">
      <c r="A82" s="556" t="str">
        <f t="array" ref="A82">IFERROR(INDEX(productsSku, SMALL(IF(productsFocQty&lt;&gt;0, ROW(productsFocQty)-ROW('BHPC MANAGER'!$CD$10)+1), ROW(L16))), "")</f>
        <v/>
      </c>
      <c r="B82" s="263" t="str">
        <f t="array" ref="B82">IFERROR(INDEX(productsDescription, SMALL(IF(productsFocQty&lt;&gt;0, ROW(productsFocQty)-ROW('BHPC MANAGER'!$CD$10)+1), ROW(L16))), "")</f>
        <v/>
      </c>
      <c r="C82"/>
      <c r="D82"/>
      <c r="E82" s="209"/>
      <c r="F82" s="240" t="str">
        <f t="shared" si="3"/>
        <v/>
      </c>
      <c r="G82" s="240" t="str">
        <f t="array" ref="G82">IFERROR(INDEX(productsFocQty, SMALL(IF(productsFocQty&lt;&gt;0, ROW(productsFocQty)-ROW('BHPC MANAGER'!$CD$10)+1), ROW(L16))), "")</f>
        <v/>
      </c>
      <c r="H82" s="573">
        <v>0</v>
      </c>
      <c r="I82" s="240" t="str">
        <f>IF(A82="","",ROUND(G82/VLOOKUP(A82,bhpc_data[],9,FALSE),0))</f>
        <v/>
      </c>
      <c r="J82" s="573" t="str">
        <f t="shared" si="4"/>
        <v/>
      </c>
      <c r="K82" s="240" t="str">
        <f t="shared" si="5"/>
        <v/>
      </c>
    </row>
    <row r="83" spans="1:11" ht="15">
      <c r="A83" s="556"/>
      <c r="B83" s="263"/>
      <c r="C83"/>
      <c r="D83"/>
      <c r="E83" s="209"/>
      <c r="F83" s="240"/>
      <c r="G83" s="240"/>
      <c r="H83" s="573"/>
      <c r="I83" s="240" t="str">
        <f>IF(A83="","",ROUND(G83/VLOOKUP(A83,bhpc_data[],9,FALSE),0))</f>
        <v/>
      </c>
      <c r="J83" s="573"/>
      <c r="K83" s="240"/>
    </row>
    <row r="84" spans="1:11" ht="15">
      <c r="A84" s="556"/>
      <c r="B84" s="263"/>
      <c r="C84"/>
      <c r="D84"/>
      <c r="E84" s="209"/>
      <c r="F84" s="240"/>
      <c r="G84" s="240"/>
      <c r="H84" s="573"/>
      <c r="I84" s="240" t="str">
        <f>IF(A84="","",ROUND(G84/VLOOKUP(A84,bhpc_data[],9,FALSE),0))</f>
        <v/>
      </c>
      <c r="J84" s="573"/>
      <c r="K84" s="240"/>
    </row>
    <row r="85" spans="1:11" ht="15">
      <c r="A85" s="556"/>
      <c r="B85" s="263"/>
      <c r="C85"/>
      <c r="D85"/>
      <c r="E85" s="209"/>
      <c r="F85" s="240"/>
      <c r="G85" s="240"/>
      <c r="H85" s="573"/>
      <c r="I85" s="240" t="str">
        <f>IF(A85="","",ROUND(G85/VLOOKUP(A85,bhpc_data[],9,FALSE),0))</f>
        <v/>
      </c>
      <c r="J85" s="573"/>
      <c r="K85" s="240"/>
    </row>
    <row r="86" spans="1:11" ht="15">
      <c r="A86" s="556"/>
      <c r="B86" s="263"/>
      <c r="C86"/>
      <c r="D86"/>
      <c r="E86" s="209"/>
      <c r="F86" s="240"/>
      <c r="G86" s="240"/>
      <c r="H86" s="573"/>
      <c r="I86" s="240" t="str">
        <f>IF(A86="","",ROUND(G86/VLOOKUP(A86,bhpc_data[],9,FALSE),0))</f>
        <v/>
      </c>
      <c r="J86" s="573"/>
      <c r="K86" s="240"/>
    </row>
    <row r="87" spans="1:11" ht="15">
      <c r="A87" s="556"/>
      <c r="B87" s="263"/>
      <c r="C87"/>
      <c r="D87"/>
      <c r="E87" s="209"/>
      <c r="F87" s="240"/>
      <c r="G87" s="240"/>
      <c r="H87" s="573"/>
      <c r="I87" s="240" t="str">
        <f>IF(A87="","",ROUND(G87/VLOOKUP(A87,bhpc_data[],9,FALSE),0))</f>
        <v/>
      </c>
      <c r="J87" s="573"/>
      <c r="K87" s="240"/>
    </row>
    <row r="88" spans="1:11" ht="15">
      <c r="A88" s="556"/>
      <c r="B88" s="263"/>
      <c r="C88"/>
      <c r="D88"/>
      <c r="E88" s="209"/>
      <c r="F88" s="240"/>
      <c r="G88" s="240"/>
      <c r="H88" s="573"/>
      <c r="I88" s="240" t="str">
        <f>IF(A88="","",ROUND(G88/VLOOKUP(A88,bhpc_data[],9,FALSE),0))</f>
        <v/>
      </c>
      <c r="J88" s="573"/>
      <c r="K88" s="240"/>
    </row>
    <row r="89" spans="1:11" ht="15">
      <c r="A89" s="556"/>
      <c r="B89" s="263"/>
      <c r="C89"/>
      <c r="D89"/>
      <c r="E89" s="209"/>
      <c r="F89" s="240"/>
      <c r="G89" s="240"/>
      <c r="H89" s="573"/>
      <c r="I89" s="240" t="str">
        <f>IF(A89="","",ROUND(G89/VLOOKUP(A89,bhpc_data[],9,FALSE),0))</f>
        <v/>
      </c>
      <c r="J89" s="573"/>
      <c r="K89" s="240"/>
    </row>
    <row r="90" spans="1:11" ht="15">
      <c r="A90" s="556"/>
      <c r="B90" s="263"/>
      <c r="C90"/>
      <c r="D90"/>
      <c r="E90" s="209"/>
      <c r="F90" s="240"/>
      <c r="G90" s="240"/>
      <c r="H90" s="573"/>
      <c r="I90" s="240" t="str">
        <f>IF(A90="","",ROUND(G90/VLOOKUP(A90,bhpc_data[],9,FALSE),0))</f>
        <v/>
      </c>
      <c r="J90" s="573"/>
      <c r="K90" s="240"/>
    </row>
    <row r="91" spans="1:11" ht="15">
      <c r="A91" s="556"/>
      <c r="B91" s="263"/>
      <c r="C91"/>
      <c r="D91"/>
      <c r="E91" s="209"/>
      <c r="F91" s="240"/>
      <c r="G91" s="240"/>
      <c r="H91" s="573"/>
      <c r="I91" s="240" t="str">
        <f>IF(A91="","",ROUND(G91/VLOOKUP(A91,bhpc_data[],9,FALSE),0))</f>
        <v/>
      </c>
      <c r="J91" s="573"/>
      <c r="K91" s="240"/>
    </row>
    <row r="92" spans="1:11" ht="15">
      <c r="A92" s="556"/>
      <c r="B92" s="263"/>
      <c r="C92"/>
      <c r="D92"/>
      <c r="E92" s="209"/>
      <c r="F92" s="240"/>
      <c r="G92" s="240"/>
      <c r="H92" s="573"/>
      <c r="I92" s="240" t="str">
        <f>IF(A92="","",ROUND(G92/VLOOKUP(A92,bhpc_data[],9,FALSE),0))</f>
        <v/>
      </c>
      <c r="J92" s="573"/>
      <c r="K92" s="240"/>
    </row>
    <row r="93" spans="1:11" ht="15">
      <c r="A93" s="556"/>
      <c r="B93" s="263"/>
      <c r="C93"/>
      <c r="D93"/>
      <c r="E93" s="209"/>
      <c r="F93" s="240"/>
      <c r="G93" s="240"/>
      <c r="H93" s="573"/>
      <c r="I93" s="240" t="str">
        <f>IF(A93="","",ROUND(G93/VLOOKUP(A93,bhpc_data[],9,FALSE),0))</f>
        <v/>
      </c>
      <c r="J93" s="573"/>
      <c r="K93" s="240"/>
    </row>
    <row r="94" spans="1:11" ht="15">
      <c r="A94" s="556"/>
      <c r="B94" s="263"/>
      <c r="C94"/>
      <c r="D94"/>
      <c r="E94" s="209"/>
      <c r="F94" s="240"/>
      <c r="G94" s="240"/>
      <c r="H94" s="573"/>
      <c r="I94" s="240" t="str">
        <f>IF(A94="","",ROUND(G94/VLOOKUP(A94,bhpc_data[],9,FALSE),0))</f>
        <v/>
      </c>
      <c r="J94" s="573"/>
      <c r="K94" s="240"/>
    </row>
    <row r="95" spans="1:11" ht="15">
      <c r="A95" s="556"/>
      <c r="B95" s="263"/>
      <c r="C95"/>
      <c r="D95"/>
      <c r="E95" s="209"/>
      <c r="F95" s="240"/>
      <c r="G95" s="240"/>
      <c r="H95" s="573"/>
      <c r="I95" s="240" t="str">
        <f>IF(A95="","",ROUND(G95/VLOOKUP(A95,bhpc_data[],9,FALSE),0))</f>
        <v/>
      </c>
      <c r="J95" s="573"/>
      <c r="K95" s="240"/>
    </row>
    <row r="96" spans="1:11" ht="15">
      <c r="A96" s="556"/>
      <c r="B96" s="263"/>
      <c r="C96"/>
      <c r="D96"/>
      <c r="E96" s="209"/>
      <c r="F96" s="240"/>
      <c r="G96" s="240"/>
      <c r="H96" s="573"/>
      <c r="I96" s="240" t="str">
        <f>IF(A96="","",ROUND(G96/VLOOKUP(A96,bhpc_data[],9,FALSE),0))</f>
        <v/>
      </c>
      <c r="J96" s="573"/>
      <c r="K96" s="240"/>
    </row>
    <row r="97" spans="1:11" ht="15">
      <c r="A97" s="556"/>
      <c r="B97" s="263"/>
      <c r="C97"/>
      <c r="D97"/>
      <c r="E97" s="209"/>
      <c r="F97" s="240"/>
      <c r="G97" s="240"/>
      <c r="H97" s="573"/>
      <c r="I97" s="240" t="str">
        <f>IF(A97="","",ROUND(G97/VLOOKUP(A97,bhpc_data[],9,FALSE),0))</f>
        <v/>
      </c>
      <c r="J97" s="573"/>
      <c r="K97" s="240"/>
    </row>
    <row r="98" spans="1:11" ht="15">
      <c r="A98" s="556"/>
      <c r="B98" s="263"/>
      <c r="C98"/>
      <c r="D98"/>
      <c r="E98" s="209"/>
      <c r="F98" s="240"/>
      <c r="G98" s="240"/>
      <c r="H98" s="573"/>
      <c r="I98" s="240" t="str">
        <f>IF(A98="","",ROUND(G98/VLOOKUP(A98,bhpc_data[],9,FALSE),0))</f>
        <v/>
      </c>
      <c r="J98" s="573"/>
      <c r="K98" s="240"/>
    </row>
    <row r="99" spans="1:11" ht="15">
      <c r="A99" s="556"/>
      <c r="B99" s="263"/>
      <c r="C99"/>
      <c r="D99"/>
      <c r="E99" s="209"/>
      <c r="F99" s="240"/>
      <c r="G99" s="240"/>
      <c r="H99" s="573"/>
      <c r="I99" s="240" t="str">
        <f>IF(A99="","",ROUND(G99/VLOOKUP(A99,bhpc_data[],9,FALSE),0))</f>
        <v/>
      </c>
      <c r="J99" s="573"/>
      <c r="K99" s="240"/>
    </row>
    <row r="100" spans="1:11" ht="15">
      <c r="A100" s="556"/>
      <c r="B100" s="263"/>
      <c r="C100"/>
      <c r="D100"/>
      <c r="E100" s="209"/>
      <c r="F100" s="240"/>
      <c r="G100" s="240"/>
      <c r="H100" s="573"/>
      <c r="I100" s="240" t="str">
        <f>IF(A100="","",ROUND(G100/VLOOKUP(A100,bhpc_data[],9,FALSE),0))</f>
        <v/>
      </c>
      <c r="J100" s="573"/>
      <c r="K100" s="240"/>
    </row>
    <row r="101" spans="1:11" ht="15">
      <c r="A101" s="556"/>
      <c r="B101" s="263"/>
      <c r="C101"/>
      <c r="D101"/>
      <c r="E101" s="209"/>
      <c r="F101" s="240"/>
      <c r="G101" s="240"/>
      <c r="H101" s="573"/>
      <c r="I101" s="240" t="str">
        <f>IF(A101="","",ROUND(G101/VLOOKUP(A101,bhpc_data[],9,FALSE),0))</f>
        <v/>
      </c>
      <c r="J101" s="573"/>
      <c r="K101" s="240"/>
    </row>
    <row r="102" spans="1:11" ht="15">
      <c r="A102" s="556"/>
      <c r="B102" s="263"/>
      <c r="C102"/>
      <c r="D102"/>
      <c r="E102" s="209"/>
      <c r="F102" s="240"/>
      <c r="G102" s="240"/>
      <c r="H102" s="573"/>
      <c r="I102" s="240" t="str">
        <f>IF(A102="","",ROUND(G102/VLOOKUP(A102,bhpc_data[],9,FALSE),0))</f>
        <v/>
      </c>
      <c r="J102" s="573"/>
      <c r="K102" s="240"/>
    </row>
    <row r="103" spans="1:11" ht="15">
      <c r="A103" s="556"/>
      <c r="B103" s="263"/>
      <c r="C103"/>
      <c r="D103"/>
      <c r="E103" s="209"/>
      <c r="F103" s="240"/>
      <c r="G103" s="240"/>
      <c r="H103" s="573"/>
      <c r="I103" s="240" t="str">
        <f>IF(A103="","",ROUND(G103/VLOOKUP(A103,bhpc_data[],9,FALSE),0))</f>
        <v/>
      </c>
      <c r="J103" s="573"/>
      <c r="K103" s="240"/>
    </row>
    <row r="104" spans="1:11" ht="15">
      <c r="A104" s="556"/>
      <c r="B104" s="263"/>
      <c r="C104"/>
      <c r="D104"/>
      <c r="E104" s="209"/>
      <c r="F104" s="240"/>
      <c r="G104" s="240"/>
      <c r="H104" s="573"/>
      <c r="I104" s="240" t="str">
        <f>IF(A104="","",ROUND(G104/VLOOKUP(A104,bhpc_data[],9,FALSE),0))</f>
        <v/>
      </c>
      <c r="J104" s="573"/>
      <c r="K104" s="240"/>
    </row>
    <row r="105" spans="1:11">
      <c r="A105" s="737"/>
      <c r="B105" s="739"/>
      <c r="C105" s="737"/>
      <c r="D105" s="739"/>
      <c r="E105" s="737" t="s">
        <v>570</v>
      </c>
      <c r="F105" s="738"/>
      <c r="G105" s="739"/>
      <c r="H105" s="767" t="s">
        <v>553</v>
      </c>
      <c r="I105" s="738"/>
      <c r="J105" s="768"/>
      <c r="K105" s="739"/>
    </row>
    <row r="106" spans="1:11" ht="14.45" customHeight="1">
      <c r="A106" s="742"/>
      <c r="B106" s="743"/>
      <c r="C106" s="742"/>
      <c r="D106" s="743"/>
      <c r="E106" s="769">
        <f>SUM($J$66:$J$104)</f>
        <v>0</v>
      </c>
      <c r="F106" s="770"/>
      <c r="G106" s="771"/>
      <c r="H106" s="734">
        <f>$E$106+$E$59</f>
        <v>8409.6</v>
      </c>
      <c r="I106" s="735"/>
      <c r="J106" s="735"/>
      <c r="K106" s="736"/>
    </row>
    <row r="107" spans="1:11">
      <c r="A107" s="737" t="s">
        <v>554</v>
      </c>
      <c r="B107" s="739"/>
      <c r="C107" s="226" t="s">
        <v>555</v>
      </c>
      <c r="D107" s="737" t="s">
        <v>556</v>
      </c>
      <c r="E107" s="739"/>
      <c r="F107" s="737" t="s">
        <v>557</v>
      </c>
      <c r="G107" s="739"/>
      <c r="H107" s="765" t="s">
        <v>558</v>
      </c>
      <c r="I107" s="731"/>
      <c r="J107" s="766"/>
      <c r="K107" s="733"/>
    </row>
    <row r="108" spans="1:11" ht="14.45" customHeight="1">
      <c r="A108" s="716" t="s">
        <v>287</v>
      </c>
      <c r="B108" s="717"/>
      <c r="C108" s="720" t="s">
        <v>286</v>
      </c>
      <c r="D108" s="722">
        <f>H106</f>
        <v>8409.6</v>
      </c>
      <c r="E108" s="723"/>
      <c r="F108" s="726">
        <f>IF(C108="022",22%,0)</f>
        <v>0</v>
      </c>
      <c r="G108" s="727"/>
      <c r="H108" s="734">
        <f>H106</f>
        <v>8409.6</v>
      </c>
      <c r="I108" s="735"/>
      <c r="J108" s="735"/>
      <c r="K108" s="736"/>
    </row>
    <row r="109" spans="1:11">
      <c r="A109" s="716"/>
      <c r="B109" s="717"/>
      <c r="C109" s="720"/>
      <c r="D109" s="722"/>
      <c r="E109" s="723"/>
      <c r="F109" s="726"/>
      <c r="G109" s="727"/>
      <c r="H109" s="765" t="s">
        <v>559</v>
      </c>
      <c r="I109" s="731"/>
      <c r="J109" s="766"/>
      <c r="K109" s="733"/>
    </row>
    <row r="110" spans="1:11" ht="14.45" customHeight="1">
      <c r="A110" s="716"/>
      <c r="B110" s="717"/>
      <c r="C110" s="720"/>
      <c r="D110" s="722"/>
      <c r="E110" s="723"/>
      <c r="F110" s="726"/>
      <c r="G110" s="727"/>
      <c r="H110" s="734">
        <f>SEJ108*F108</f>
        <v>0</v>
      </c>
      <c r="I110" s="735"/>
      <c r="J110" s="735"/>
      <c r="K110" s="736"/>
    </row>
    <row r="111" spans="1:11">
      <c r="A111" s="716"/>
      <c r="B111" s="717"/>
      <c r="C111" s="720"/>
      <c r="D111" s="722"/>
      <c r="E111" s="723"/>
      <c r="F111" s="726"/>
      <c r="G111" s="727"/>
      <c r="H111" s="765" t="s">
        <v>560</v>
      </c>
      <c r="I111" s="731"/>
      <c r="J111" s="766"/>
      <c r="K111" s="733"/>
    </row>
    <row r="112" spans="1:11" ht="14.45" customHeight="1">
      <c r="A112" s="718"/>
      <c r="B112" s="719"/>
      <c r="C112" s="721"/>
      <c r="D112" s="724"/>
      <c r="E112" s="725"/>
      <c r="F112" s="728"/>
      <c r="G112" s="729"/>
      <c r="H112" s="734">
        <f>H106+H110</f>
        <v>8409.6</v>
      </c>
      <c r="I112" s="735"/>
      <c r="J112" s="735"/>
      <c r="K112" s="736"/>
    </row>
    <row r="113" spans="1:11">
      <c r="A113" s="701" t="s">
        <v>561</v>
      </c>
      <c r="B113" s="702"/>
      <c r="C113" s="702"/>
      <c r="D113" s="702"/>
      <c r="E113" s="702"/>
      <c r="F113" s="702"/>
      <c r="G113" s="702"/>
      <c r="H113" s="778"/>
      <c r="I113" s="702"/>
      <c r="J113" s="778"/>
      <c r="K113" s="704"/>
    </row>
    <row r="114" spans="1:11">
      <c r="A114" s="705" t="s">
        <v>562</v>
      </c>
      <c r="B114" s="706"/>
      <c r="C114" s="706"/>
      <c r="D114" s="706"/>
      <c r="E114" s="706"/>
      <c r="F114" s="706"/>
      <c r="G114" s="706"/>
      <c r="H114" s="779"/>
      <c r="I114" s="706"/>
      <c r="J114" s="779"/>
      <c r="K114" s="708"/>
    </row>
    <row r="115" spans="1:11" ht="12.6" customHeight="1">
      <c r="A115" s="701" t="s">
        <v>563</v>
      </c>
      <c r="B115" s="709" t="s">
        <v>564</v>
      </c>
      <c r="C115" s="709"/>
      <c r="D115" s="709"/>
      <c r="E115" s="709"/>
      <c r="F115" s="709"/>
      <c r="G115" s="709"/>
      <c r="H115" s="780"/>
      <c r="I115" s="709"/>
      <c r="J115" s="780"/>
      <c r="K115" s="711"/>
    </row>
    <row r="116" spans="1:11">
      <c r="A116" s="705"/>
      <c r="B116" s="712"/>
      <c r="C116" s="712"/>
      <c r="D116" s="712"/>
      <c r="E116" s="712"/>
      <c r="F116" s="712"/>
      <c r="G116" s="712"/>
      <c r="H116" s="781"/>
      <c r="I116" s="712"/>
      <c r="J116" s="781"/>
      <c r="K116" s="714"/>
    </row>
    <row r="117" spans="1:11" ht="12.6" customHeight="1">
      <c r="A117" s="698" t="s">
        <v>565</v>
      </c>
      <c r="B117" s="698"/>
      <c r="C117" s="698"/>
      <c r="D117" s="698"/>
      <c r="E117" s="698"/>
      <c r="F117" s="698"/>
      <c r="G117" s="698"/>
      <c r="H117" s="774"/>
      <c r="I117" s="698"/>
      <c r="J117" s="774"/>
      <c r="K117" s="698"/>
    </row>
    <row r="118" spans="1:11">
      <c r="A118" s="698" t="s">
        <v>566</v>
      </c>
      <c r="B118" s="698"/>
      <c r="C118" s="698"/>
      <c r="D118" s="698"/>
      <c r="E118" s="698"/>
      <c r="F118" s="698"/>
      <c r="G118" s="698"/>
      <c r="H118" s="774"/>
      <c r="I118" s="698"/>
      <c r="J118" s="774"/>
      <c r="K118" s="698"/>
    </row>
    <row r="119" spans="1:11">
      <c r="A119" s="698" t="s">
        <v>567</v>
      </c>
      <c r="B119" s="699"/>
      <c r="C119" s="699"/>
      <c r="D119" s="699"/>
      <c r="E119" s="699"/>
      <c r="F119" s="699"/>
      <c r="G119" s="699"/>
      <c r="H119" s="775"/>
      <c r="I119" s="699"/>
      <c r="J119" s="775"/>
      <c r="K119" s="699"/>
    </row>
    <row r="120" spans="1:11">
      <c r="H120" s="242"/>
      <c r="J120" s="242"/>
    </row>
    <row r="121" spans="1:11">
      <c r="H121" s="242"/>
      <c r="J121" s="242"/>
    </row>
    <row r="122" spans="1:11">
      <c r="H122" s="242"/>
      <c r="J122" s="242"/>
    </row>
    <row r="123" spans="1:11">
      <c r="H123" s="242"/>
      <c r="J123" s="242"/>
    </row>
    <row r="124" spans="1:11">
      <c r="H124" s="242"/>
      <c r="J124" s="242"/>
    </row>
    <row r="125" spans="1:11">
      <c r="H125" s="242"/>
      <c r="J125" s="242"/>
    </row>
    <row r="126" spans="1:11">
      <c r="H126" s="242"/>
      <c r="J126" s="242"/>
    </row>
    <row r="127" spans="1:11">
      <c r="H127" s="242"/>
      <c r="J127" s="242"/>
    </row>
    <row r="128" spans="1:11">
      <c r="H128" s="242"/>
      <c r="J128" s="242"/>
    </row>
    <row r="129" spans="8:10">
      <c r="H129" s="242"/>
      <c r="J129" s="242"/>
    </row>
    <row r="130" spans="8:10">
      <c r="H130" s="242"/>
      <c r="J130" s="242"/>
    </row>
    <row r="131" spans="8:10">
      <c r="H131" s="242"/>
      <c r="J131" s="242"/>
    </row>
    <row r="132" spans="8:10">
      <c r="H132" s="242"/>
      <c r="J132" s="242"/>
    </row>
    <row r="133" spans="8:10">
      <c r="H133" s="242"/>
      <c r="J133" s="242"/>
    </row>
    <row r="134" spans="8:10">
      <c r="H134" s="242"/>
      <c r="J134" s="242"/>
    </row>
    <row r="135" spans="8:10">
      <c r="H135" s="242"/>
      <c r="J135" s="242"/>
    </row>
    <row r="136" spans="8:10">
      <c r="H136" s="242"/>
      <c r="J136" s="242"/>
    </row>
    <row r="137" spans="8:10">
      <c r="H137" s="242"/>
      <c r="J137" s="242"/>
    </row>
    <row r="138" spans="8:10">
      <c r="H138" s="242"/>
      <c r="J138" s="242"/>
    </row>
    <row r="139" spans="8:10">
      <c r="H139" s="242"/>
      <c r="J139" s="242"/>
    </row>
    <row r="140" spans="8:10">
      <c r="H140" s="242"/>
      <c r="J140" s="242"/>
    </row>
    <row r="141" spans="8:10">
      <c r="H141" s="242"/>
      <c r="J141" s="242"/>
    </row>
    <row r="142" spans="8:10">
      <c r="H142" s="242"/>
      <c r="J142" s="242"/>
    </row>
    <row r="143" spans="8:10">
      <c r="H143" s="242"/>
      <c r="J143" s="242"/>
    </row>
    <row r="144" spans="8:10">
      <c r="H144" s="242"/>
      <c r="J144" s="242"/>
    </row>
    <row r="145" spans="8:10">
      <c r="H145" s="242"/>
      <c r="J145" s="242"/>
    </row>
    <row r="146" spans="8:10">
      <c r="H146" s="242"/>
      <c r="J146" s="242"/>
    </row>
    <row r="147" spans="8:10">
      <c r="H147" s="242"/>
      <c r="J147" s="242"/>
    </row>
    <row r="148" spans="8:10">
      <c r="H148" s="242"/>
      <c r="J148" s="242"/>
    </row>
    <row r="149" spans="8:10">
      <c r="H149" s="242"/>
      <c r="J149" s="242"/>
    </row>
    <row r="150" spans="8:10">
      <c r="H150" s="242"/>
      <c r="J150" s="242"/>
    </row>
    <row r="151" spans="8:10">
      <c r="H151" s="242"/>
      <c r="J151" s="242"/>
    </row>
    <row r="152" spans="8:10">
      <c r="H152" s="242"/>
      <c r="J152" s="242"/>
    </row>
    <row r="153" spans="8:10">
      <c r="H153" s="242"/>
      <c r="J153" s="242"/>
    </row>
    <row r="154" spans="8:10">
      <c r="H154" s="242"/>
      <c r="J154" s="242"/>
    </row>
    <row r="155" spans="8:10">
      <c r="H155" s="242"/>
      <c r="J155" s="242"/>
    </row>
    <row r="156" spans="8:10">
      <c r="H156" s="242"/>
      <c r="J156" s="242"/>
    </row>
    <row r="157" spans="8:10">
      <c r="H157" s="242"/>
      <c r="J157" s="242"/>
    </row>
    <row r="158" spans="8:10">
      <c r="H158" s="242"/>
      <c r="J158" s="242"/>
    </row>
    <row r="159" spans="8:10">
      <c r="H159" s="242"/>
      <c r="J159" s="242"/>
    </row>
    <row r="160" spans="8:10">
      <c r="H160" s="242"/>
      <c r="J160" s="242"/>
    </row>
    <row r="161" spans="8:10">
      <c r="H161" s="242"/>
      <c r="J161" s="242"/>
    </row>
    <row r="162" spans="8:10">
      <c r="H162" s="242"/>
      <c r="J162" s="242"/>
    </row>
    <row r="163" spans="8:10">
      <c r="H163" s="242"/>
      <c r="J163" s="242"/>
    </row>
    <row r="164" spans="8:10">
      <c r="H164" s="242"/>
      <c r="J164" s="242"/>
    </row>
    <row r="165" spans="8:10">
      <c r="H165" s="242"/>
      <c r="J165" s="242"/>
    </row>
    <row r="166" spans="8:10">
      <c r="H166" s="242"/>
      <c r="J166" s="242"/>
    </row>
    <row r="167" spans="8:10">
      <c r="H167" s="242"/>
      <c r="J167" s="242"/>
    </row>
    <row r="168" spans="8:10">
      <c r="H168" s="242"/>
      <c r="J168" s="242"/>
    </row>
    <row r="169" spans="8:10">
      <c r="H169" s="242"/>
      <c r="J169" s="242"/>
    </row>
    <row r="170" spans="8:10">
      <c r="H170" s="242"/>
      <c r="J170" s="242"/>
    </row>
    <row r="171" spans="8:10">
      <c r="H171" s="242"/>
      <c r="J171" s="242"/>
    </row>
    <row r="172" spans="8:10">
      <c r="H172" s="242"/>
      <c r="J172" s="242"/>
    </row>
    <row r="173" spans="8:10">
      <c r="H173" s="242"/>
      <c r="J173" s="242"/>
    </row>
    <row r="174" spans="8:10">
      <c r="H174" s="242"/>
      <c r="J174" s="242"/>
    </row>
    <row r="175" spans="8:10">
      <c r="H175" s="242"/>
      <c r="J175" s="242"/>
    </row>
    <row r="176" spans="8:10">
      <c r="H176" s="242"/>
      <c r="J176" s="242"/>
    </row>
    <row r="177" spans="8:10">
      <c r="H177" s="242"/>
      <c r="J177" s="242"/>
    </row>
    <row r="178" spans="8:10">
      <c r="H178" s="242"/>
      <c r="J178" s="242"/>
    </row>
    <row r="179" spans="8:10">
      <c r="H179" s="242"/>
      <c r="J179" s="242"/>
    </row>
    <row r="180" spans="8:10">
      <c r="H180" s="242"/>
      <c r="J180" s="242"/>
    </row>
    <row r="181" spans="8:10">
      <c r="H181" s="242"/>
      <c r="J181" s="242"/>
    </row>
    <row r="182" spans="8:10">
      <c r="H182" s="242"/>
      <c r="J182" s="242"/>
    </row>
    <row r="183" spans="8:10">
      <c r="H183" s="242"/>
      <c r="J183" s="242"/>
    </row>
    <row r="184" spans="8:10">
      <c r="H184" s="242"/>
      <c r="J184" s="242"/>
    </row>
    <row r="185" spans="8:10">
      <c r="H185" s="242"/>
      <c r="J185" s="242"/>
    </row>
    <row r="186" spans="8:10">
      <c r="H186" s="242"/>
      <c r="J186" s="242"/>
    </row>
    <row r="187" spans="8:10">
      <c r="H187" s="242"/>
      <c r="J187" s="242"/>
    </row>
    <row r="188" spans="8:10">
      <c r="H188" s="242"/>
      <c r="J188" s="242"/>
    </row>
    <row r="189" spans="8:10">
      <c r="H189" s="242"/>
      <c r="J189" s="242"/>
    </row>
    <row r="190" spans="8:10">
      <c r="H190" s="242"/>
      <c r="J190" s="242"/>
    </row>
    <row r="191" spans="8:10">
      <c r="H191" s="242"/>
      <c r="J191" s="242"/>
    </row>
    <row r="192" spans="8:10">
      <c r="H192" s="242"/>
      <c r="J192" s="242"/>
    </row>
    <row r="193" spans="4:10">
      <c r="H193" s="242"/>
      <c r="J193" s="242"/>
    </row>
    <row r="194" spans="4:10">
      <c r="H194" s="242"/>
      <c r="J194" s="242"/>
    </row>
    <row r="195" spans="4:10">
      <c r="H195" s="242"/>
      <c r="J195" s="242"/>
    </row>
    <row r="196" spans="4:10">
      <c r="H196" s="242"/>
      <c r="J196" s="242"/>
    </row>
    <row r="197" spans="4:10">
      <c r="H197" s="242"/>
      <c r="J197" s="242"/>
    </row>
    <row r="198" spans="4:10">
      <c r="H198" s="242"/>
      <c r="J198" s="242"/>
    </row>
    <row r="199" spans="4:10">
      <c r="H199" s="242"/>
      <c r="J199" s="242"/>
    </row>
    <row r="200" spans="4:10">
      <c r="H200" s="242"/>
      <c r="J200" s="242"/>
    </row>
    <row r="201" spans="4:10">
      <c r="H201" s="242"/>
      <c r="J201" s="242"/>
    </row>
    <row r="202" spans="4:10">
      <c r="H202" s="242"/>
      <c r="J202" s="242"/>
    </row>
    <row r="203" spans="4:10">
      <c r="H203" s="242"/>
      <c r="J203" s="242"/>
    </row>
    <row r="204" spans="4:10">
      <c r="J204" s="233"/>
    </row>
    <row r="205" spans="4:10">
      <c r="D205" s="234"/>
      <c r="E205" s="233"/>
      <c r="J205" s="242"/>
    </row>
    <row r="206" spans="4:10">
      <c r="D206" s="234"/>
      <c r="E206" s="233"/>
      <c r="J206" s="233"/>
    </row>
    <row r="207" spans="4:10">
      <c r="D207" s="243"/>
      <c r="E207" s="242"/>
      <c r="J207" s="242"/>
    </row>
    <row r="208" spans="4:10">
      <c r="D208" s="243"/>
      <c r="E208" s="242"/>
      <c r="J208" s="233"/>
    </row>
    <row r="209" spans="4:10">
      <c r="D209" s="243"/>
      <c r="E209" s="242"/>
      <c r="J209" s="242"/>
    </row>
    <row r="210" spans="4:10">
      <c r="D210" s="243"/>
      <c r="E210" s="242"/>
      <c r="J210" s="233"/>
    </row>
    <row r="211" spans="4:10">
      <c r="D211" s="243"/>
      <c r="E211" s="242"/>
      <c r="J211" s="242"/>
    </row>
  </sheetData>
  <mergeCells count="61">
    <mergeCell ref="A117:K117"/>
    <mergeCell ref="A118:K118"/>
    <mergeCell ref="A119:K119"/>
    <mergeCell ref="H59:K59"/>
    <mergeCell ref="H61:K61"/>
    <mergeCell ref="H63:K63"/>
    <mergeCell ref="H65:K65"/>
    <mergeCell ref="H106:K106"/>
    <mergeCell ref="H108:K108"/>
    <mergeCell ref="H110:K110"/>
    <mergeCell ref="A113:K113"/>
    <mergeCell ref="A114:K114"/>
    <mergeCell ref="A115:A116"/>
    <mergeCell ref="B115:K116"/>
    <mergeCell ref="H112:K112"/>
    <mergeCell ref="A108:B112"/>
    <mergeCell ref="C108:C112"/>
    <mergeCell ref="D108:E112"/>
    <mergeCell ref="F108:G112"/>
    <mergeCell ref="H109:K109"/>
    <mergeCell ref="H111:K111"/>
    <mergeCell ref="H107:K107"/>
    <mergeCell ref="A105:B105"/>
    <mergeCell ref="C105:D105"/>
    <mergeCell ref="E105:G105"/>
    <mergeCell ref="H105:K105"/>
    <mergeCell ref="A106:B106"/>
    <mergeCell ref="C106:D106"/>
    <mergeCell ref="E106:G106"/>
    <mergeCell ref="A107:B107"/>
    <mergeCell ref="D107:E107"/>
    <mergeCell ref="F107:G107"/>
    <mergeCell ref="A61:B65"/>
    <mergeCell ref="C61:C65"/>
    <mergeCell ref="D61:E65"/>
    <mergeCell ref="F61:G65"/>
    <mergeCell ref="H62:K62"/>
    <mergeCell ref="H64:K64"/>
    <mergeCell ref="H60:K60"/>
    <mergeCell ref="A10:K10"/>
    <mergeCell ref="B12:E12"/>
    <mergeCell ref="A58:B58"/>
    <mergeCell ref="C58:D58"/>
    <mergeCell ref="E58:G58"/>
    <mergeCell ref="H58:K58"/>
    <mergeCell ref="A59:B59"/>
    <mergeCell ref="C59:D59"/>
    <mergeCell ref="E59:G59"/>
    <mergeCell ref="A60:B60"/>
    <mergeCell ref="D60:E60"/>
    <mergeCell ref="F60:G60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</mergeCells>
  <dataValidations disablePrompts="1"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Foglio19"/>
  <dimension ref="A1:X219"/>
  <sheetViews>
    <sheetView showGridLines="0" zoomScaleSheetLayoutView="100" workbookViewId="0">
      <pane ySplit="12" topLeftCell="A13" activePane="bottomLeft" state="frozen"/>
      <selection activeCell="H53" sqref="H53:K53"/>
      <selection pane="bottomLeft" activeCell="H53" sqref="H53:K53"/>
    </sheetView>
  </sheetViews>
  <sheetFormatPr defaultColWidth="10.7109375" defaultRowHeight="12.75"/>
  <cols>
    <col min="1" max="1" width="10.5703125" style="211" customWidth="1"/>
    <col min="2" max="2" width="20.140625" style="211" customWidth="1"/>
    <col min="3" max="3" width="12.7109375" style="211" customWidth="1"/>
    <col min="4" max="4" width="9.85546875" style="213" customWidth="1"/>
    <col min="5" max="5" width="18.7109375" style="211" customWidth="1"/>
    <col min="6" max="6" width="4.140625" style="214" customWidth="1"/>
    <col min="7" max="8" width="11.42578125" style="211" customWidth="1"/>
    <col min="9" max="9" width="11.42578125" style="214" customWidth="1"/>
    <col min="10" max="10" width="11.42578125" style="211" customWidth="1"/>
    <col min="11" max="11" width="5.5703125" style="211" customWidth="1"/>
    <col min="12" max="16384" width="10.7109375" style="211"/>
  </cols>
  <sheetData>
    <row r="1" spans="1:24">
      <c r="A1" s="631"/>
      <c r="B1" s="631"/>
      <c r="C1" s="632"/>
      <c r="D1" s="633"/>
      <c r="E1" s="632"/>
      <c r="F1" s="634"/>
      <c r="G1" s="637"/>
      <c r="H1" s="625"/>
      <c r="I1" s="245"/>
      <c r="J1" s="245"/>
      <c r="K1" s="210"/>
    </row>
    <row r="2" spans="1:24">
      <c r="A2" s="632"/>
      <c r="B2" s="632"/>
      <c r="C2" s="632"/>
      <c r="D2" s="633"/>
      <c r="E2" s="632"/>
      <c r="F2" s="634"/>
      <c r="G2" s="218"/>
      <c r="H2" s="627" t="s">
        <v>274</v>
      </c>
      <c r="I2" s="217"/>
      <c r="J2" s="217"/>
      <c r="K2" s="215"/>
      <c r="P2" s="217"/>
    </row>
    <row r="3" spans="1:24">
      <c r="A3" s="632"/>
      <c r="B3" s="632"/>
      <c r="C3" s="632"/>
      <c r="D3" s="633"/>
      <c r="E3" s="632"/>
      <c r="F3" s="634"/>
      <c r="G3" s="218"/>
      <c r="H3" s="628"/>
      <c r="I3" s="211"/>
      <c r="J3" s="217"/>
      <c r="K3" s="215"/>
      <c r="P3" s="217"/>
    </row>
    <row r="4" spans="1:24">
      <c r="A4" s="632"/>
      <c r="B4" s="632"/>
      <c r="C4" s="632"/>
      <c r="D4" s="633"/>
      <c r="E4" s="632"/>
      <c r="F4" s="634"/>
      <c r="G4" s="218"/>
      <c r="H4" s="628" t="s">
        <v>275</v>
      </c>
      <c r="I4" s="211"/>
      <c r="J4" s="217"/>
      <c r="K4" s="215"/>
      <c r="P4" s="217"/>
    </row>
    <row r="5" spans="1:24">
      <c r="A5" s="632"/>
      <c r="B5" s="632"/>
      <c r="C5" s="632"/>
      <c r="D5" s="633"/>
      <c r="E5" s="632"/>
      <c r="F5" s="634"/>
      <c r="G5" s="218"/>
      <c r="H5" s="628" t="s">
        <v>276</v>
      </c>
      <c r="I5" s="211"/>
      <c r="J5" s="217"/>
      <c r="K5" s="215"/>
      <c r="N5" s="217"/>
    </row>
    <row r="6" spans="1:24">
      <c r="A6" s="632"/>
      <c r="B6" s="632"/>
      <c r="C6" s="632"/>
      <c r="D6" s="633"/>
      <c r="E6" s="632"/>
      <c r="F6" s="634"/>
      <c r="G6" s="218"/>
      <c r="H6" s="628" t="s">
        <v>277</v>
      </c>
      <c r="J6" s="217"/>
      <c r="K6" s="215"/>
    </row>
    <row r="7" spans="1:24">
      <c r="A7" s="220"/>
      <c r="B7" s="220"/>
      <c r="C7" s="220"/>
      <c r="D7" s="221"/>
      <c r="E7" s="220"/>
      <c r="F7" s="635"/>
      <c r="G7" s="224"/>
      <c r="H7" s="629"/>
      <c r="I7" s="222"/>
      <c r="J7" s="220"/>
      <c r="K7" s="223"/>
    </row>
    <row r="8" spans="1:24">
      <c r="A8" s="747" t="s">
        <v>537</v>
      </c>
      <c r="B8" s="733"/>
      <c r="C8" s="747" t="s">
        <v>538</v>
      </c>
      <c r="D8" s="733"/>
      <c r="E8" s="747" t="s">
        <v>539</v>
      </c>
      <c r="F8" s="733"/>
      <c r="G8" s="747" t="s">
        <v>540</v>
      </c>
      <c r="H8" s="731"/>
      <c r="I8" s="731"/>
      <c r="J8" s="737" t="s">
        <v>541</v>
      </c>
      <c r="K8" s="739"/>
    </row>
    <row r="9" spans="1:24">
      <c r="A9" s="757" t="s">
        <v>542</v>
      </c>
      <c r="B9" s="758"/>
      <c r="C9" s="759">
        <v>45347</v>
      </c>
      <c r="D9" s="760"/>
      <c r="E9" s="761"/>
      <c r="F9" s="761"/>
      <c r="G9" s="762" t="s">
        <v>256</v>
      </c>
      <c r="H9" s="763"/>
      <c r="I9" s="764"/>
      <c r="J9" s="757" t="s">
        <v>258</v>
      </c>
      <c r="K9" s="758"/>
    </row>
    <row r="10" spans="1:24">
      <c r="A10" s="737" t="s">
        <v>543</v>
      </c>
      <c r="B10" s="738"/>
      <c r="C10" s="738"/>
      <c r="D10" s="738"/>
      <c r="E10" s="738"/>
      <c r="F10" s="738"/>
      <c r="G10" s="738"/>
      <c r="H10" s="738"/>
      <c r="I10" s="738"/>
      <c r="J10" s="738"/>
      <c r="K10" s="739"/>
    </row>
    <row r="11" spans="1:24">
      <c r="A11" s="219" t="s">
        <v>273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3"/>
    </row>
    <row r="12" spans="1:24" ht="31.5" customHeight="1">
      <c r="A12" s="231" t="s">
        <v>544</v>
      </c>
      <c r="B12" s="748" t="s">
        <v>545</v>
      </c>
      <c r="C12" s="749"/>
      <c r="D12" s="749"/>
      <c r="E12" s="750"/>
      <c r="F12" s="232" t="s">
        <v>546</v>
      </c>
      <c r="G12" s="231" t="s">
        <v>547</v>
      </c>
      <c r="H12" s="231" t="s">
        <v>548</v>
      </c>
      <c r="I12" s="231" t="s">
        <v>549</v>
      </c>
      <c r="J12" s="231" t="s">
        <v>550</v>
      </c>
      <c r="K12" s="231" t="s">
        <v>551</v>
      </c>
    </row>
    <row r="13" spans="1:24" ht="12.95" customHeight="1">
      <c r="A13" s="241"/>
      <c r="B13" s="542" t="s">
        <v>552</v>
      </c>
      <c r="C13" s="229"/>
      <c r="D13" s="229"/>
      <c r="E13" s="230"/>
      <c r="F13" s="238"/>
      <c r="G13" s="239"/>
      <c r="H13" s="572"/>
      <c r="I13" s="239"/>
      <c r="J13" s="572"/>
      <c r="K13" s="239"/>
      <c r="N13" s="217"/>
    </row>
    <row r="14" spans="1:24" ht="15">
      <c r="A14" s="556" t="str">
        <f t="array" ref="A14">IFERROR(INDEX(productsSku, SMALL(IF(productsQty&lt;&gt;0, ROW(productsQty)-ROW('BHPC MANAGER'!$CD$10)+1), ROW(L1))), "")</f>
        <v>P06003</v>
      </c>
      <c r="B14" s="237" t="str">
        <f t="array" ref="B14">IFERROR(INDEX(productsDescription, SMALL(IF(productsQty&lt;&gt;0, ROW(productsQty)-ROW('BHPC MANAGER'!$CD$10)+1), ROW(L1))), "")</f>
        <v>BHPC PRESTIGE TITAN 100ML EDP MEN</v>
      </c>
      <c r="C14"/>
      <c r="D14"/>
      <c r="E14" s="209"/>
      <c r="F14" s="240" t="str">
        <f t="shared" ref="F14:F49" si="0">IF(A14="","","PC")</f>
        <v>PC</v>
      </c>
      <c r="G14" s="240">
        <f t="array" ref="G14">IFERROR(INDEX(productsQty, SMALL(IF(productsQty&lt;&gt;0, ROW(productsQty)-ROW('BHPC MANAGER'!$CD$10)+1), ROW(L1))), "")</f>
        <v>720</v>
      </c>
      <c r="H14" s="573">
        <f t="array" ref="H14">IFERROR(INDEX(productsSalePrice, SMALL(IF(productsQty&lt;&gt;0, ROW(productsQty)-ROW('BHPC MANAGER'!$CD$10)+1), ROW(L1))), "")</f>
        <v>11.68</v>
      </c>
      <c r="I14" s="240">
        <f t="array" ref="I14">IFERROR(INDEX(productsCartons, SMALL(IF(productsQty&lt;&gt;0, ROW(productsQty)-ROW('BHPC MANAGER'!$CD$10)+1), ROW(L1))), "")</f>
        <v>30</v>
      </c>
      <c r="J14" s="573">
        <f t="shared" ref="J14:J49" si="1">IF(A14="","",G14*H14)</f>
        <v>8409.6</v>
      </c>
      <c r="K14" s="240" t="str">
        <f t="shared" ref="K14:K49" si="2">IF(A14="","",$C$63)</f>
        <v>061</v>
      </c>
      <c r="N14" s="214"/>
      <c r="S14" s="81"/>
      <c r="T14" s="81"/>
      <c r="U14" s="235"/>
      <c r="V14" s="81"/>
      <c r="W14" s="235"/>
      <c r="X14" s="81"/>
    </row>
    <row r="15" spans="1:24" ht="15">
      <c r="A15" s="556" t="str">
        <f t="array" ref="A15">IFERROR(INDEX(productsSku, SMALL(IF(productsQty&lt;&gt;0, ROW(productsQty)-ROW('BHPC MANAGER'!$CD$10)+1), ROW(L2))), "")</f>
        <v/>
      </c>
      <c r="B15" s="237" t="str">
        <f t="array" ref="B15">IFERROR(INDEX(productsDescription, SMALL(IF(productsQty&lt;&gt;0, ROW(productsQty)-ROW('BHPC MANAGER'!$CD$10)+1), ROW(L2))), "")</f>
        <v/>
      </c>
      <c r="C15"/>
      <c r="D15"/>
      <c r="E15" s="209"/>
      <c r="F15" s="240" t="str">
        <f t="shared" si="0"/>
        <v/>
      </c>
      <c r="G15" s="240" t="str">
        <f t="array" ref="G15">IFERROR(INDEX(productsQty, SMALL(IF(productsQty&lt;&gt;0, ROW(productsQty)-ROW('BHPC MANAGER'!$CD$10)+1), ROW(L2))), "")</f>
        <v/>
      </c>
      <c r="H15" s="573" t="str">
        <f t="array" ref="H15">IFERROR(INDEX(productsSalePrice, SMALL(IF(productsQty&lt;&gt;0, ROW(productsQty)-ROW('BHPC MANAGER'!$CD$10)+1), ROW(L2))), "")</f>
        <v/>
      </c>
      <c r="I15" s="240" t="str">
        <f t="array" ref="I15">IFERROR(INDEX(productsCartons, SMALL(IF(productsQty&lt;&gt;0, ROW(productsQty)-ROW('BHPC MANAGER'!$CD$10)+1), ROW(L2))), "")</f>
        <v/>
      </c>
      <c r="J15" s="573" t="str">
        <f t="shared" si="1"/>
        <v/>
      </c>
      <c r="K15" s="240" t="str">
        <f t="shared" si="2"/>
        <v/>
      </c>
      <c r="N15" s="217"/>
    </row>
    <row r="16" spans="1:24" ht="15">
      <c r="A16" s="556" t="str">
        <f t="array" ref="A16">IFERROR(INDEX(productsSku, SMALL(IF(productsQty&lt;&gt;0, ROW(productsQty)-ROW('BHPC MANAGER'!$CD$10)+1), ROW(L3))), "")</f>
        <v/>
      </c>
      <c r="B16" s="237" t="str">
        <f t="array" ref="B16">IFERROR(INDEX(productsDescription, SMALL(IF(productsQty&lt;&gt;0, ROW(productsQty)-ROW('BHPC MANAGER'!$CD$10)+1), ROW(L3))), "")</f>
        <v/>
      </c>
      <c r="C16"/>
      <c r="D16"/>
      <c r="E16" s="209"/>
      <c r="F16" s="240" t="str">
        <f t="shared" si="0"/>
        <v/>
      </c>
      <c r="G16" s="240" t="str">
        <f t="array" ref="G16">IFERROR(INDEX(productsQty, SMALL(IF(productsQty&lt;&gt;0, ROW(productsQty)-ROW('BHPC MANAGER'!$CD$10)+1), ROW(L3))), "")</f>
        <v/>
      </c>
      <c r="H16" s="573" t="str">
        <f t="array" ref="H16">IFERROR(INDEX(productsSalePrice, SMALL(IF(productsQty&lt;&gt;0, ROW(productsQty)-ROW('BHPC MANAGER'!$CD$10)+1), ROW(L3))), "")</f>
        <v/>
      </c>
      <c r="I16" s="240" t="str">
        <f t="array" ref="I16">IFERROR(INDEX(productsCartons, SMALL(IF(productsQty&lt;&gt;0, ROW(productsQty)-ROW('BHPC MANAGER'!$CD$10)+1), ROW(L3))), "")</f>
        <v/>
      </c>
      <c r="J16" s="573" t="str">
        <f t="shared" si="1"/>
        <v/>
      </c>
      <c r="K16" s="240" t="str">
        <f t="shared" si="2"/>
        <v/>
      </c>
      <c r="N16" s="214"/>
      <c r="S16" s="81"/>
      <c r="T16" s="81"/>
      <c r="U16" s="235"/>
      <c r="V16" s="81"/>
      <c r="W16" s="235"/>
      <c r="X16" s="81"/>
    </row>
    <row r="17" spans="1:24" ht="15">
      <c r="A17" s="556" t="str">
        <f t="array" ref="A17">IFERROR(INDEX(productsSku, SMALL(IF(productsQty&lt;&gt;0, ROW(productsQty)-ROW('BHPC MANAGER'!$CD$10)+1), ROW(L4))), "")</f>
        <v/>
      </c>
      <c r="B17" s="237" t="str">
        <f t="array" ref="B17">IFERROR(INDEX(productsDescription, SMALL(IF(productsQty&lt;&gt;0, ROW(productsQty)-ROW('BHPC MANAGER'!$CD$10)+1), ROW(L4))), "")</f>
        <v/>
      </c>
      <c r="C17"/>
      <c r="D17"/>
      <c r="E17" s="209"/>
      <c r="F17" s="240" t="str">
        <f t="shared" si="0"/>
        <v/>
      </c>
      <c r="G17" s="240" t="str">
        <f t="array" ref="G17">IFERROR(INDEX(productsQty, SMALL(IF(productsQty&lt;&gt;0, ROW(productsQty)-ROW('BHPC MANAGER'!$CD$10)+1), ROW(L4))), "")</f>
        <v/>
      </c>
      <c r="H17" s="573" t="str">
        <f t="array" ref="H17">IFERROR(INDEX(productsSalePrice, SMALL(IF(productsQty&lt;&gt;0, ROW(productsQty)-ROW('BHPC MANAGER'!$CD$10)+1), ROW(L4))), "")</f>
        <v/>
      </c>
      <c r="I17" s="240" t="str">
        <f t="array" ref="I17">IFERROR(INDEX(productsCartons, SMALL(IF(productsQty&lt;&gt;0, ROW(productsQty)-ROW('BHPC MANAGER'!$CD$10)+1), ROW(L4))), "")</f>
        <v/>
      </c>
      <c r="J17" s="573" t="str">
        <f t="shared" si="1"/>
        <v/>
      </c>
      <c r="K17" s="240" t="str">
        <f t="shared" si="2"/>
        <v/>
      </c>
      <c r="N17" s="217"/>
    </row>
    <row r="18" spans="1:24" ht="15">
      <c r="A18" s="556" t="str">
        <f t="array" ref="A18">IFERROR(INDEX(productsSku, SMALL(IF(productsQty&lt;&gt;0, ROW(productsQty)-ROW('BHPC MANAGER'!$CD$10)+1), ROW(L5))), "")</f>
        <v/>
      </c>
      <c r="B18" s="237" t="str">
        <f t="array" ref="B18">IFERROR(INDEX(productsDescription, SMALL(IF(productsQty&lt;&gt;0, ROW(productsQty)-ROW('BHPC MANAGER'!$CD$10)+1), ROW(L5))), "")</f>
        <v/>
      </c>
      <c r="C18"/>
      <c r="D18"/>
      <c r="E18" s="209"/>
      <c r="F18" s="240" t="str">
        <f t="shared" si="0"/>
        <v/>
      </c>
      <c r="G18" s="240" t="str">
        <f t="array" ref="G18">IFERROR(INDEX(productsQty, SMALL(IF(productsQty&lt;&gt;0, ROW(productsQty)-ROW('BHPC MANAGER'!$CD$10)+1), ROW(L5))), "")</f>
        <v/>
      </c>
      <c r="H18" s="573" t="str">
        <f t="array" ref="H18">IFERROR(INDEX(productsSalePrice, SMALL(IF(productsQty&lt;&gt;0, ROW(productsQty)-ROW('BHPC MANAGER'!$CD$10)+1), ROW(L5))), "")</f>
        <v/>
      </c>
      <c r="I18" s="240" t="str">
        <f t="array" ref="I18">IFERROR(INDEX(productsCartons, SMALL(IF(productsQty&lt;&gt;0, ROW(productsQty)-ROW('BHPC MANAGER'!$CD$10)+1), ROW(L5))), "")</f>
        <v/>
      </c>
      <c r="J18" s="573" t="str">
        <f t="shared" si="1"/>
        <v/>
      </c>
      <c r="K18" s="240" t="str">
        <f t="shared" si="2"/>
        <v/>
      </c>
      <c r="N18" s="214"/>
      <c r="S18" s="81"/>
      <c r="T18" s="81"/>
      <c r="U18" s="235"/>
      <c r="V18" s="81"/>
      <c r="W18" s="235"/>
      <c r="X18" s="81"/>
    </row>
    <row r="19" spans="1:24" ht="15">
      <c r="A19" s="556" t="str">
        <f t="array" ref="A19">IFERROR(INDEX(productsSku, SMALL(IF(productsQty&lt;&gt;0, ROW(productsQty)-ROW('BHPC MANAGER'!$CD$10)+1), ROW(L6))), "")</f>
        <v/>
      </c>
      <c r="B19" s="237" t="str">
        <f t="array" ref="B19">IFERROR(INDEX(productsDescription, SMALL(IF(productsQty&lt;&gt;0, ROW(productsQty)-ROW('BHPC MANAGER'!$CD$10)+1), ROW(L6))), "")</f>
        <v/>
      </c>
      <c r="C19"/>
      <c r="D19"/>
      <c r="E19" s="209"/>
      <c r="F19" s="240" t="str">
        <f t="shared" si="0"/>
        <v/>
      </c>
      <c r="G19" s="240" t="str">
        <f t="array" ref="G19">IFERROR(INDEX(productsQty, SMALL(IF(productsQty&lt;&gt;0, ROW(productsQty)-ROW('BHPC MANAGER'!$CD$10)+1), ROW(L6))), "")</f>
        <v/>
      </c>
      <c r="H19" s="573" t="str">
        <f t="array" ref="H19">IFERROR(INDEX(productsSalePrice, SMALL(IF(productsQty&lt;&gt;0, ROW(productsQty)-ROW('BHPC MANAGER'!$CD$10)+1), ROW(L6))), "")</f>
        <v/>
      </c>
      <c r="I19" s="240" t="str">
        <f t="array" ref="I19">IFERROR(INDEX(productsCartons, SMALL(IF(productsQty&lt;&gt;0, ROW(productsQty)-ROW('BHPC MANAGER'!$CD$10)+1), ROW(L6))), "")</f>
        <v/>
      </c>
      <c r="J19" s="573" t="str">
        <f t="shared" si="1"/>
        <v/>
      </c>
      <c r="K19" s="240" t="str">
        <f t="shared" si="2"/>
        <v/>
      </c>
    </row>
    <row r="20" spans="1:24" ht="15">
      <c r="A20" s="556" t="str">
        <f t="array" ref="A20">IFERROR(INDEX(productsSku, SMALL(IF(productsQty&lt;&gt;0, ROW(productsQty)-ROW('BHPC MANAGER'!$CD$10)+1), ROW(L7))), "")</f>
        <v/>
      </c>
      <c r="B20" s="237" t="str">
        <f t="array" ref="B20">IFERROR(INDEX(productsDescription, SMALL(IF(productsQty&lt;&gt;0, ROW(productsQty)-ROW('BHPC MANAGER'!$CD$10)+1), ROW(L7))), "")</f>
        <v/>
      </c>
      <c r="C20"/>
      <c r="D20"/>
      <c r="E20" s="209"/>
      <c r="F20" s="240" t="str">
        <f t="shared" si="0"/>
        <v/>
      </c>
      <c r="G20" s="240" t="str">
        <f t="array" ref="G20">IFERROR(INDEX(productsQty, SMALL(IF(productsQty&lt;&gt;0, ROW(productsQty)-ROW('BHPC MANAGER'!$CD$10)+1), ROW(L7))), "")</f>
        <v/>
      </c>
      <c r="H20" s="573" t="str">
        <f t="array" ref="H20">IFERROR(INDEX(productsSalePrice, SMALL(IF(productsQty&lt;&gt;0, ROW(productsQty)-ROW('BHPC MANAGER'!$CD$10)+1), ROW(L7))), "")</f>
        <v/>
      </c>
      <c r="I20" s="240" t="str">
        <f t="array" ref="I20">IFERROR(INDEX(productsCartons, SMALL(IF(productsQty&lt;&gt;0, ROW(productsQty)-ROW('BHPC MANAGER'!$CD$10)+1), ROW(L7))), "")</f>
        <v/>
      </c>
      <c r="J20" s="573" t="str">
        <f t="shared" si="1"/>
        <v/>
      </c>
      <c r="K20" s="240" t="str">
        <f t="shared" si="2"/>
        <v/>
      </c>
    </row>
    <row r="21" spans="1:24" ht="15">
      <c r="A21" s="556" t="str">
        <f t="array" ref="A21">IFERROR(INDEX(productsSku, SMALL(IF(productsQty&lt;&gt;0, ROW(productsQty)-ROW('BHPC MANAGER'!$CD$10)+1), ROW(L8))), "")</f>
        <v/>
      </c>
      <c r="B21" s="237" t="str">
        <f t="array" ref="B21">IFERROR(INDEX(productsDescription, SMALL(IF(productsQty&lt;&gt;0, ROW(productsQty)-ROW('BHPC MANAGER'!$CD$10)+1), ROW(L8))), "")</f>
        <v/>
      </c>
      <c r="C21"/>
      <c r="D21"/>
      <c r="E21" s="209"/>
      <c r="F21" s="240" t="str">
        <f t="shared" si="0"/>
        <v/>
      </c>
      <c r="G21" s="240" t="str">
        <f t="array" ref="G21">IFERROR(INDEX(productsQty, SMALL(IF(productsQty&lt;&gt;0, ROW(productsQty)-ROW('BHPC MANAGER'!$CD$10)+1), ROW(L8))), "")</f>
        <v/>
      </c>
      <c r="H21" s="573" t="str">
        <f t="array" ref="H21">IFERROR(INDEX(productsSalePrice, SMALL(IF(productsQty&lt;&gt;0, ROW(productsQty)-ROW('BHPC MANAGER'!$CD$10)+1), ROW(L8))), "")</f>
        <v/>
      </c>
      <c r="I21" s="240" t="str">
        <f t="array" ref="I21">IFERROR(INDEX(productsCartons, SMALL(IF(productsQty&lt;&gt;0, ROW(productsQty)-ROW('BHPC MANAGER'!$CD$10)+1), ROW(L8))), "")</f>
        <v/>
      </c>
      <c r="J21" s="573" t="str">
        <f t="shared" si="1"/>
        <v/>
      </c>
      <c r="K21" s="240" t="str">
        <f t="shared" si="2"/>
        <v/>
      </c>
    </row>
    <row r="22" spans="1:24" ht="15">
      <c r="A22" s="556" t="str">
        <f t="array" ref="A22">IFERROR(INDEX(productsSku, SMALL(IF(productsQty&lt;&gt;0, ROW(productsQty)-ROW('BHPC MANAGER'!$CD$10)+1), ROW(L9))), "")</f>
        <v/>
      </c>
      <c r="B22" s="237" t="str">
        <f t="array" ref="B22">IFERROR(INDEX(productsDescription, SMALL(IF(productsQty&lt;&gt;0, ROW(productsQty)-ROW('BHPC MANAGER'!$CD$10)+1), ROW(L9))), "")</f>
        <v/>
      </c>
      <c r="C22"/>
      <c r="D22"/>
      <c r="E22" s="209"/>
      <c r="F22" s="240" t="str">
        <f t="shared" si="0"/>
        <v/>
      </c>
      <c r="G22" s="240" t="str">
        <f t="array" ref="G22">IFERROR(INDEX(productsQty, SMALL(IF(productsQty&lt;&gt;0, ROW(productsQty)-ROW('BHPC MANAGER'!$CD$10)+1), ROW(L9))), "")</f>
        <v/>
      </c>
      <c r="H22" s="573" t="str">
        <f t="array" ref="H22">IFERROR(INDEX(productsSalePrice, SMALL(IF(productsQty&lt;&gt;0, ROW(productsQty)-ROW('BHPC MANAGER'!$CD$10)+1), ROW(L9))), "")</f>
        <v/>
      </c>
      <c r="I22" s="240" t="str">
        <f t="array" ref="I22">IFERROR(INDEX(productsCartons, SMALL(IF(productsQty&lt;&gt;0, ROW(productsQty)-ROW('BHPC MANAGER'!$CD$10)+1), ROW(L9))), "")</f>
        <v/>
      </c>
      <c r="J22" s="573" t="str">
        <f t="shared" si="1"/>
        <v/>
      </c>
      <c r="K22" s="240" t="str">
        <f t="shared" si="2"/>
        <v/>
      </c>
    </row>
    <row r="23" spans="1:24" ht="15">
      <c r="A23" s="556" t="str">
        <f t="array" ref="A23">IFERROR(INDEX(productsSku, SMALL(IF(productsQty&lt;&gt;0, ROW(productsQty)-ROW('BHPC MANAGER'!$CD$10)+1), ROW(L10))), "")</f>
        <v/>
      </c>
      <c r="B23" s="237" t="str">
        <f t="array" ref="B23">IFERROR(INDEX(productsDescription, SMALL(IF(productsQty&lt;&gt;0, ROW(productsQty)-ROW('BHPC MANAGER'!$CD$10)+1), ROW(L10))), "")</f>
        <v/>
      </c>
      <c r="C23"/>
      <c r="D23"/>
      <c r="E23" s="209"/>
      <c r="F23" s="240" t="str">
        <f t="shared" si="0"/>
        <v/>
      </c>
      <c r="G23" s="240" t="str">
        <f t="array" ref="G23">IFERROR(INDEX(productsQty, SMALL(IF(productsQty&lt;&gt;0, ROW(productsQty)-ROW('BHPC MANAGER'!$CD$10)+1), ROW(L10))), "")</f>
        <v/>
      </c>
      <c r="H23" s="573" t="str">
        <f t="array" ref="H23">IFERROR(INDEX(productsSalePrice, SMALL(IF(productsQty&lt;&gt;0, ROW(productsQty)-ROW('BHPC MANAGER'!$CD$10)+1), ROW(L10))), "")</f>
        <v/>
      </c>
      <c r="I23" s="240" t="str">
        <f t="array" ref="I23">IFERROR(INDEX(productsCartons, SMALL(IF(productsQty&lt;&gt;0, ROW(productsQty)-ROW('BHPC MANAGER'!$CD$10)+1), ROW(L10))), "")</f>
        <v/>
      </c>
      <c r="J23" s="573" t="str">
        <f t="shared" si="1"/>
        <v/>
      </c>
      <c r="K23" s="240" t="str">
        <f t="shared" si="2"/>
        <v/>
      </c>
    </row>
    <row r="24" spans="1:24" ht="15">
      <c r="A24" s="556" t="str">
        <f t="array" ref="A24">IFERROR(INDEX(productsSku, SMALL(IF(productsQty&lt;&gt;0, ROW(productsQty)-ROW('BHPC MANAGER'!$CD$10)+1), ROW(L11))), "")</f>
        <v/>
      </c>
      <c r="B24" s="237" t="str">
        <f t="array" ref="B24">IFERROR(INDEX(productsDescription, SMALL(IF(productsQty&lt;&gt;0, ROW(productsQty)-ROW('BHPC MANAGER'!$CD$10)+1), ROW(L11))), "")</f>
        <v/>
      </c>
      <c r="C24"/>
      <c r="D24"/>
      <c r="E24" s="209"/>
      <c r="F24" s="240" t="str">
        <f t="shared" si="0"/>
        <v/>
      </c>
      <c r="G24" s="240" t="str">
        <f t="array" ref="G24">IFERROR(INDEX(productsQty, SMALL(IF(productsQty&lt;&gt;0, ROW(productsQty)-ROW('BHPC MANAGER'!$CD$10)+1), ROW(L11))), "")</f>
        <v/>
      </c>
      <c r="H24" s="573" t="str">
        <f t="array" ref="H24">IFERROR(INDEX(productsSalePrice, SMALL(IF(productsQty&lt;&gt;0, ROW(productsQty)-ROW('BHPC MANAGER'!$CD$10)+1), ROW(L11))), "")</f>
        <v/>
      </c>
      <c r="I24" s="240" t="str">
        <f t="array" ref="I24">IFERROR(INDEX(productsCartons, SMALL(IF(productsQty&lt;&gt;0, ROW(productsQty)-ROW('BHPC MANAGER'!$CD$10)+1), ROW(L11))), "")</f>
        <v/>
      </c>
      <c r="J24" s="573" t="str">
        <f t="shared" si="1"/>
        <v/>
      </c>
      <c r="K24" s="240" t="str">
        <f t="shared" si="2"/>
        <v/>
      </c>
    </row>
    <row r="25" spans="1:24" ht="15">
      <c r="A25" s="556" t="str">
        <f t="array" ref="A25">IFERROR(INDEX(productsSku, SMALL(IF(productsQty&lt;&gt;0, ROW(productsQty)-ROW('BHPC MANAGER'!$CD$10)+1), ROW(L12))), "")</f>
        <v/>
      </c>
      <c r="B25" s="237" t="str">
        <f t="array" ref="B25">IFERROR(INDEX(productsDescription, SMALL(IF(productsQty&lt;&gt;0, ROW(productsQty)-ROW('BHPC MANAGER'!$CD$10)+1), ROW(L12))), "")</f>
        <v/>
      </c>
      <c r="C25"/>
      <c r="D25"/>
      <c r="E25" s="209"/>
      <c r="F25" s="240" t="str">
        <f t="shared" si="0"/>
        <v/>
      </c>
      <c r="G25" s="240" t="str">
        <f t="array" ref="G25">IFERROR(INDEX(productsQty, SMALL(IF(productsQty&lt;&gt;0, ROW(productsQty)-ROW('BHPC MANAGER'!$CD$10)+1), ROW(L12))), "")</f>
        <v/>
      </c>
      <c r="H25" s="573" t="str">
        <f t="array" ref="H25">IFERROR(INDEX(productsSalePrice, SMALL(IF(productsQty&lt;&gt;0, ROW(productsQty)-ROW('BHPC MANAGER'!$CD$10)+1), ROW(L12))), "")</f>
        <v/>
      </c>
      <c r="I25" s="240" t="str">
        <f t="array" ref="I25">IFERROR(INDEX(productsCartons, SMALL(IF(productsQty&lt;&gt;0, ROW(productsQty)-ROW('BHPC MANAGER'!$CD$10)+1), ROW(L12))), "")</f>
        <v/>
      </c>
      <c r="J25" s="573" t="str">
        <f t="shared" si="1"/>
        <v/>
      </c>
      <c r="K25" s="240" t="str">
        <f t="shared" si="2"/>
        <v/>
      </c>
    </row>
    <row r="26" spans="1:24" ht="15">
      <c r="A26" s="556" t="str">
        <f t="array" ref="A26">IFERROR(INDEX(productsSku, SMALL(IF(productsQty&lt;&gt;0, ROW(productsQty)-ROW('BHPC MANAGER'!$CD$10)+1), ROW(L13))), "")</f>
        <v/>
      </c>
      <c r="B26" s="237" t="str">
        <f t="array" ref="B26">IFERROR(INDEX(productsDescription, SMALL(IF(productsQty&lt;&gt;0, ROW(productsQty)-ROW('BHPC MANAGER'!$CD$10)+1), ROW(L13))), "")</f>
        <v/>
      </c>
      <c r="C26"/>
      <c r="D26"/>
      <c r="E26" s="209"/>
      <c r="F26" s="240" t="str">
        <f t="shared" si="0"/>
        <v/>
      </c>
      <c r="G26" s="240" t="str">
        <f t="array" ref="G26">IFERROR(INDEX(productsQty, SMALL(IF(productsQty&lt;&gt;0, ROW(productsQty)-ROW('BHPC MANAGER'!$CD$10)+1), ROW(L13))), "")</f>
        <v/>
      </c>
      <c r="H26" s="573" t="str">
        <f t="array" ref="H26">IFERROR(INDEX(productsSalePrice, SMALL(IF(productsQty&lt;&gt;0, ROW(productsQty)-ROW('BHPC MANAGER'!$CD$10)+1), ROW(L13))), "")</f>
        <v/>
      </c>
      <c r="I26" s="240" t="str">
        <f t="array" ref="I26">IFERROR(INDEX(productsCartons, SMALL(IF(productsQty&lt;&gt;0, ROW(productsQty)-ROW('BHPC MANAGER'!$CD$10)+1), ROW(L13))), "")</f>
        <v/>
      </c>
      <c r="J26" s="573" t="str">
        <f t="shared" si="1"/>
        <v/>
      </c>
      <c r="K26" s="240" t="str">
        <f t="shared" si="2"/>
        <v/>
      </c>
    </row>
    <row r="27" spans="1:24" ht="15">
      <c r="A27" s="556" t="str">
        <f t="array" ref="A27">IFERROR(INDEX(productsSku, SMALL(IF(productsQty&lt;&gt;0, ROW(productsQty)-ROW('BHPC MANAGER'!$CD$10)+1), ROW(L14))), "")</f>
        <v/>
      </c>
      <c r="B27" s="237" t="str">
        <f t="array" ref="B27">IFERROR(INDEX(productsDescription, SMALL(IF(productsQty&lt;&gt;0, ROW(productsQty)-ROW('BHPC MANAGER'!$CD$10)+1), ROW(L14))), "")</f>
        <v/>
      </c>
      <c r="C27"/>
      <c r="D27"/>
      <c r="E27" s="209"/>
      <c r="F27" s="240" t="str">
        <f t="shared" si="0"/>
        <v/>
      </c>
      <c r="G27" s="240" t="str">
        <f t="array" ref="G27">IFERROR(INDEX(productsQty, SMALL(IF(productsQty&lt;&gt;0, ROW(productsQty)-ROW('BHPC MANAGER'!$CD$10)+1), ROW(L14))), "")</f>
        <v/>
      </c>
      <c r="H27" s="573" t="str">
        <f t="array" ref="H27">IFERROR(INDEX(productsSalePrice, SMALL(IF(productsQty&lt;&gt;0, ROW(productsQty)-ROW('BHPC MANAGER'!$CD$10)+1), ROW(L14))), "")</f>
        <v/>
      </c>
      <c r="I27" s="240" t="str">
        <f t="array" ref="I27">IFERROR(INDEX(productsCartons, SMALL(IF(productsQty&lt;&gt;0, ROW(productsQty)-ROW('BHPC MANAGER'!$CD$10)+1), ROW(L14))), "")</f>
        <v/>
      </c>
      <c r="J27" s="573" t="str">
        <f t="shared" si="1"/>
        <v/>
      </c>
      <c r="K27" s="240" t="str">
        <f t="shared" si="2"/>
        <v/>
      </c>
    </row>
    <row r="28" spans="1:24" ht="15">
      <c r="A28" s="556" t="str">
        <f t="array" ref="A28">IFERROR(INDEX(productsSku, SMALL(IF(productsQty&lt;&gt;0, ROW(productsQty)-ROW('BHPC MANAGER'!$CD$10)+1), ROW(L15))), "")</f>
        <v/>
      </c>
      <c r="B28" s="237" t="str">
        <f t="array" ref="B28">IFERROR(INDEX(productsDescription, SMALL(IF(productsQty&lt;&gt;0, ROW(productsQty)-ROW('BHPC MANAGER'!$CD$10)+1), ROW(L15))), "")</f>
        <v/>
      </c>
      <c r="C28"/>
      <c r="D28"/>
      <c r="E28" s="209"/>
      <c r="F28" s="240" t="str">
        <f t="shared" si="0"/>
        <v/>
      </c>
      <c r="G28" s="240" t="str">
        <f t="array" ref="G28">IFERROR(INDEX(productsQty, SMALL(IF(productsQty&lt;&gt;0, ROW(productsQty)-ROW('BHPC MANAGER'!$CD$10)+1), ROW(L15))), "")</f>
        <v/>
      </c>
      <c r="H28" s="573" t="str">
        <f t="array" ref="H28">IFERROR(INDEX(productsSalePrice, SMALL(IF(productsQty&lt;&gt;0, ROW(productsQty)-ROW('BHPC MANAGER'!$CD$10)+1), ROW(L15))), "")</f>
        <v/>
      </c>
      <c r="I28" s="240" t="str">
        <f t="array" ref="I28">IFERROR(INDEX(productsCartons, SMALL(IF(productsQty&lt;&gt;0, ROW(productsQty)-ROW('BHPC MANAGER'!$CD$10)+1), ROW(L15))), "")</f>
        <v/>
      </c>
      <c r="J28" s="573" t="str">
        <f t="shared" si="1"/>
        <v/>
      </c>
      <c r="K28" s="240" t="str">
        <f t="shared" si="2"/>
        <v/>
      </c>
    </row>
    <row r="29" spans="1:24" ht="15">
      <c r="A29" s="556" t="str">
        <f t="array" ref="A29">IFERROR(INDEX(productsSku, SMALL(IF(productsQty&lt;&gt;0, ROW(productsQty)-ROW('BHPC MANAGER'!$CD$10)+1), ROW(L16))), "")</f>
        <v/>
      </c>
      <c r="B29" s="237" t="str">
        <f t="array" ref="B29">IFERROR(INDEX(productsDescription, SMALL(IF(productsQty&lt;&gt;0, ROW(productsQty)-ROW('BHPC MANAGER'!$CD$10)+1), ROW(L16))), "")</f>
        <v/>
      </c>
      <c r="C29"/>
      <c r="D29"/>
      <c r="E29" s="209"/>
      <c r="F29" s="240" t="str">
        <f t="shared" si="0"/>
        <v/>
      </c>
      <c r="G29" s="240" t="str">
        <f t="array" ref="G29">IFERROR(INDEX(productsQty, SMALL(IF(productsQty&lt;&gt;0, ROW(productsQty)-ROW('BHPC MANAGER'!$CD$10)+1), ROW(L16))), "")</f>
        <v/>
      </c>
      <c r="H29" s="573" t="str">
        <f t="array" ref="H29">IFERROR(INDEX(productsSalePrice, SMALL(IF(productsQty&lt;&gt;0, ROW(productsQty)-ROW('BHPC MANAGER'!$CD$10)+1), ROW(L16))), "")</f>
        <v/>
      </c>
      <c r="I29" s="240" t="str">
        <f t="array" ref="I29">IFERROR(INDEX(productsCartons, SMALL(IF(productsQty&lt;&gt;0, ROW(productsQty)-ROW('BHPC MANAGER'!$CD$10)+1), ROW(L16))), "")</f>
        <v/>
      </c>
      <c r="J29" s="573" t="str">
        <f t="shared" si="1"/>
        <v/>
      </c>
      <c r="K29" s="240" t="str">
        <f t="shared" si="2"/>
        <v/>
      </c>
    </row>
    <row r="30" spans="1:24" ht="15">
      <c r="A30" s="556" t="str">
        <f t="array" ref="A30">IFERROR(INDEX(productsSku, SMALL(IF(productsQty&lt;&gt;0, ROW(productsQty)-ROW('BHPC MANAGER'!$CD$10)+1), ROW(L17))), "")</f>
        <v/>
      </c>
      <c r="B30" s="237" t="str">
        <f t="array" ref="B30">IFERROR(INDEX(productsDescription, SMALL(IF(productsQty&lt;&gt;0, ROW(productsQty)-ROW('BHPC MANAGER'!$CD$10)+1), ROW(L17))), "")</f>
        <v/>
      </c>
      <c r="C30"/>
      <c r="D30"/>
      <c r="E30" s="209"/>
      <c r="F30" s="240" t="str">
        <f t="shared" si="0"/>
        <v/>
      </c>
      <c r="G30" s="240" t="str">
        <f t="array" ref="G30">IFERROR(INDEX(productsQty, SMALL(IF(productsQty&lt;&gt;0, ROW(productsQty)-ROW('BHPC MANAGER'!$CD$10)+1), ROW(L17))), "")</f>
        <v/>
      </c>
      <c r="H30" s="573" t="str">
        <f t="array" ref="H30">IFERROR(INDEX(productsSalePrice, SMALL(IF(productsQty&lt;&gt;0, ROW(productsQty)-ROW('BHPC MANAGER'!$CD$10)+1), ROW(L17))), "")</f>
        <v/>
      </c>
      <c r="I30" s="240" t="str">
        <f t="array" ref="I30">IFERROR(INDEX(productsCartons, SMALL(IF(productsQty&lt;&gt;0, ROW(productsQty)-ROW('BHPC MANAGER'!$CD$10)+1), ROW(L17))), "")</f>
        <v/>
      </c>
      <c r="J30" s="573" t="str">
        <f t="shared" si="1"/>
        <v/>
      </c>
      <c r="K30" s="240" t="str">
        <f t="shared" si="2"/>
        <v/>
      </c>
    </row>
    <row r="31" spans="1:24" ht="15">
      <c r="A31" s="556" t="str">
        <f t="array" ref="A31">IFERROR(INDEX(productsSku, SMALL(IF(productsQty&lt;&gt;0, ROW(productsQty)-ROW('BHPC MANAGER'!$CD$10)+1), ROW(L18))), "")</f>
        <v/>
      </c>
      <c r="B31" s="237" t="str">
        <f t="array" ref="B31">IFERROR(INDEX(productsDescription, SMALL(IF(productsQty&lt;&gt;0, ROW(productsQty)-ROW('BHPC MANAGER'!$CD$10)+1), ROW(L18))), "")</f>
        <v/>
      </c>
      <c r="C31"/>
      <c r="D31"/>
      <c r="E31" s="209"/>
      <c r="F31" s="240" t="str">
        <f t="shared" si="0"/>
        <v/>
      </c>
      <c r="G31" s="240" t="str">
        <f t="array" ref="G31">IFERROR(INDEX(productsQty, SMALL(IF(productsQty&lt;&gt;0, ROW(productsQty)-ROW('BHPC MANAGER'!$CD$10)+1), ROW(L18))), "")</f>
        <v/>
      </c>
      <c r="H31" s="573" t="str">
        <f t="array" ref="H31">IFERROR(INDEX(productsSalePrice, SMALL(IF(productsQty&lt;&gt;0, ROW(productsQty)-ROW('BHPC MANAGER'!$CD$10)+1), ROW(L18))), "")</f>
        <v/>
      </c>
      <c r="I31" s="240" t="str">
        <f t="array" ref="I31">IFERROR(INDEX(productsCartons, SMALL(IF(productsQty&lt;&gt;0, ROW(productsQty)-ROW('BHPC MANAGER'!$CD$10)+1), ROW(L18))), "")</f>
        <v/>
      </c>
      <c r="J31" s="573" t="str">
        <f t="shared" si="1"/>
        <v/>
      </c>
      <c r="K31" s="240" t="str">
        <f t="shared" si="2"/>
        <v/>
      </c>
    </row>
    <row r="32" spans="1:24" ht="15">
      <c r="A32" s="556" t="str">
        <f t="array" ref="A32">IFERROR(INDEX(productsSku, SMALL(IF(productsQty&lt;&gt;0, ROW(productsQty)-ROW('BHPC MANAGER'!$CD$10)+1), ROW(L19))), "")</f>
        <v/>
      </c>
      <c r="B32" s="237" t="str">
        <f t="array" ref="B32">IFERROR(INDEX(productsDescription, SMALL(IF(productsQty&lt;&gt;0, ROW(productsQty)-ROW('BHPC MANAGER'!$CD$10)+1), ROW(L19))), "")</f>
        <v/>
      </c>
      <c r="C32"/>
      <c r="D32"/>
      <c r="E32" s="209"/>
      <c r="F32" s="240" t="str">
        <f t="shared" si="0"/>
        <v/>
      </c>
      <c r="G32" s="240" t="str">
        <f t="array" ref="G32">IFERROR(INDEX(productsQty, SMALL(IF(productsQty&lt;&gt;0, ROW(productsQty)-ROW('BHPC MANAGER'!$CD$10)+1), ROW(L19))), "")</f>
        <v/>
      </c>
      <c r="H32" s="573" t="str">
        <f t="array" ref="H32">IFERROR(INDEX(productsSalePrice, SMALL(IF(productsQty&lt;&gt;0, ROW(productsQty)-ROW('BHPC MANAGER'!$CD$10)+1), ROW(L19))), "")</f>
        <v/>
      </c>
      <c r="I32" s="240" t="str">
        <f t="array" ref="I32">IFERROR(INDEX(productsCartons, SMALL(IF(productsQty&lt;&gt;0, ROW(productsQty)-ROW('BHPC MANAGER'!$CD$10)+1), ROW(L19))), "")</f>
        <v/>
      </c>
      <c r="J32" s="573" t="str">
        <f t="shared" si="1"/>
        <v/>
      </c>
      <c r="K32" s="240" t="str">
        <f t="shared" si="2"/>
        <v/>
      </c>
    </row>
    <row r="33" spans="1:11" ht="15">
      <c r="A33" s="556" t="str">
        <f t="array" ref="A33">IFERROR(INDEX(productsSku, SMALL(IF(productsQty&lt;&gt;0, ROW(productsQty)-ROW('BHPC MANAGER'!$CD$10)+1), ROW(L20))), "")</f>
        <v/>
      </c>
      <c r="B33" s="237" t="str">
        <f t="array" ref="B33">IFERROR(INDEX(productsDescription, SMALL(IF(productsQty&lt;&gt;0, ROW(productsQty)-ROW('BHPC MANAGER'!$CD$10)+1), ROW(L20))), "")</f>
        <v/>
      </c>
      <c r="C33"/>
      <c r="D33"/>
      <c r="E33" s="209"/>
      <c r="F33" s="240" t="str">
        <f t="shared" si="0"/>
        <v/>
      </c>
      <c r="G33" s="240" t="str">
        <f t="array" ref="G33">IFERROR(INDEX(productsQty, SMALL(IF(productsQty&lt;&gt;0, ROW(productsQty)-ROW('BHPC MANAGER'!$CD$10)+1), ROW(L20))), "")</f>
        <v/>
      </c>
      <c r="H33" s="573" t="str">
        <f t="array" ref="H33">IFERROR(INDEX(productsSalePrice, SMALL(IF(productsQty&lt;&gt;0, ROW(productsQty)-ROW('BHPC MANAGER'!$CD$10)+1), ROW(L20))), "")</f>
        <v/>
      </c>
      <c r="I33" s="240" t="str">
        <f t="array" ref="I33">IFERROR(INDEX(productsCartons, SMALL(IF(productsQty&lt;&gt;0, ROW(productsQty)-ROW('BHPC MANAGER'!$CD$10)+1), ROW(L20))), "")</f>
        <v/>
      </c>
      <c r="J33" s="573" t="str">
        <f t="shared" si="1"/>
        <v/>
      </c>
      <c r="K33" s="240" t="str">
        <f t="shared" si="2"/>
        <v/>
      </c>
    </row>
    <row r="34" spans="1:11" ht="15">
      <c r="A34" s="556" t="str">
        <f t="array" ref="A34">IFERROR(INDEX(productsSku, SMALL(IF(productsQty&lt;&gt;0, ROW(productsQty)-ROW('BHPC MANAGER'!$CD$10)+1), ROW(L21))), "")</f>
        <v/>
      </c>
      <c r="B34" s="237" t="str">
        <f t="array" ref="B34">IFERROR(INDEX(productsDescription, SMALL(IF(productsQty&lt;&gt;0, ROW(productsQty)-ROW('BHPC MANAGER'!$CD$10)+1), ROW(L21))), "")</f>
        <v/>
      </c>
      <c r="C34"/>
      <c r="D34"/>
      <c r="E34" s="209"/>
      <c r="F34" s="240" t="str">
        <f t="shared" si="0"/>
        <v/>
      </c>
      <c r="G34" s="240" t="str">
        <f t="array" ref="G34">IFERROR(INDEX(productsQty, SMALL(IF(productsQty&lt;&gt;0, ROW(productsQty)-ROW('BHPC MANAGER'!$CD$10)+1), ROW(L21))), "")</f>
        <v/>
      </c>
      <c r="H34" s="573" t="str">
        <f t="array" ref="H34">IFERROR(INDEX(productsSalePrice, SMALL(IF(productsQty&lt;&gt;0, ROW(productsQty)-ROW('BHPC MANAGER'!$CD$10)+1), ROW(L21))), "")</f>
        <v/>
      </c>
      <c r="I34" s="240" t="str">
        <f t="array" ref="I34">IFERROR(INDEX(productsCartons, SMALL(IF(productsQty&lt;&gt;0, ROW(productsQty)-ROW('BHPC MANAGER'!$CD$10)+1), ROW(L21))), "")</f>
        <v/>
      </c>
      <c r="J34" s="573" t="str">
        <f t="shared" si="1"/>
        <v/>
      </c>
      <c r="K34" s="240" t="str">
        <f t="shared" si="2"/>
        <v/>
      </c>
    </row>
    <row r="35" spans="1:11" ht="15">
      <c r="A35" s="556" t="str">
        <f t="array" ref="A35">IFERROR(INDEX(productsSku, SMALL(IF(productsQty&lt;&gt;0, ROW(productsQty)-ROW('BHPC MANAGER'!$CD$10)+1), ROW(L22))), "")</f>
        <v/>
      </c>
      <c r="B35" s="237" t="str">
        <f t="array" ref="B35">IFERROR(INDEX(productsDescription, SMALL(IF(productsQty&lt;&gt;0, ROW(productsQty)-ROW('BHPC MANAGER'!$CD$10)+1), ROW(L22))), "")</f>
        <v/>
      </c>
      <c r="C35"/>
      <c r="D35"/>
      <c r="E35" s="209"/>
      <c r="F35" s="240" t="str">
        <f t="shared" si="0"/>
        <v/>
      </c>
      <c r="G35" s="240" t="str">
        <f t="array" ref="G35">IFERROR(INDEX(productsQty, SMALL(IF(productsQty&lt;&gt;0, ROW(productsQty)-ROW('BHPC MANAGER'!$CD$10)+1), ROW(L22))), "")</f>
        <v/>
      </c>
      <c r="H35" s="573" t="str">
        <f t="array" ref="H35">IFERROR(INDEX(productsSalePrice, SMALL(IF(productsQty&lt;&gt;0, ROW(productsQty)-ROW('BHPC MANAGER'!$CD$10)+1), ROW(L22))), "")</f>
        <v/>
      </c>
      <c r="I35" s="240" t="str">
        <f t="array" ref="I35">IFERROR(INDEX(productsCartons, SMALL(IF(productsQty&lt;&gt;0, ROW(productsQty)-ROW('BHPC MANAGER'!$CD$10)+1), ROW(L22))), "")</f>
        <v/>
      </c>
      <c r="J35" s="573" t="str">
        <f t="shared" si="1"/>
        <v/>
      </c>
      <c r="K35" s="240" t="str">
        <f t="shared" si="2"/>
        <v/>
      </c>
    </row>
    <row r="36" spans="1:11" ht="15">
      <c r="A36" s="556" t="str">
        <f t="array" ref="A36">IFERROR(INDEX(productsSku, SMALL(IF(productsQty&lt;&gt;0, ROW(productsQty)-ROW('BHPC MANAGER'!$CD$10)+1), ROW(L23))), "")</f>
        <v/>
      </c>
      <c r="B36" s="237" t="str">
        <f t="array" ref="B36">IFERROR(INDEX(productsDescription, SMALL(IF(productsQty&lt;&gt;0, ROW(productsQty)-ROW('BHPC MANAGER'!$CD$10)+1), ROW(L23))), "")</f>
        <v/>
      </c>
      <c r="C36"/>
      <c r="D36"/>
      <c r="E36" s="209"/>
      <c r="F36" s="240" t="str">
        <f t="shared" si="0"/>
        <v/>
      </c>
      <c r="G36" s="240" t="str">
        <f t="array" ref="G36">IFERROR(INDEX(productsQty, SMALL(IF(productsQty&lt;&gt;0, ROW(productsQty)-ROW('BHPC MANAGER'!$CD$10)+1), ROW(L23))), "")</f>
        <v/>
      </c>
      <c r="H36" s="573" t="str">
        <f t="array" ref="H36">IFERROR(INDEX(productsSalePrice, SMALL(IF(productsQty&lt;&gt;0, ROW(productsQty)-ROW('BHPC MANAGER'!$CD$10)+1), ROW(L23))), "")</f>
        <v/>
      </c>
      <c r="I36" s="240" t="str">
        <f t="array" ref="I36">IFERROR(INDEX(productsCartons, SMALL(IF(productsQty&lt;&gt;0, ROW(productsQty)-ROW('BHPC MANAGER'!$CD$10)+1), ROW(L23))), "")</f>
        <v/>
      </c>
      <c r="J36" s="573" t="str">
        <f t="shared" si="1"/>
        <v/>
      </c>
      <c r="K36" s="240" t="str">
        <f t="shared" si="2"/>
        <v/>
      </c>
    </row>
    <row r="37" spans="1:11" ht="15">
      <c r="A37" s="556" t="str">
        <f t="array" ref="A37">IFERROR(INDEX(productsSku, SMALL(IF(productsQty&lt;&gt;0, ROW(productsQty)-ROW('BHPC MANAGER'!$CD$10)+1), ROW(L24))), "")</f>
        <v/>
      </c>
      <c r="B37" s="237" t="str">
        <f t="array" ref="B37">IFERROR(INDEX(productsDescription, SMALL(IF(productsQty&lt;&gt;0, ROW(productsQty)-ROW('BHPC MANAGER'!$CD$10)+1), ROW(L24))), "")</f>
        <v/>
      </c>
      <c r="C37"/>
      <c r="D37"/>
      <c r="E37" s="209"/>
      <c r="F37" s="240" t="str">
        <f t="shared" si="0"/>
        <v/>
      </c>
      <c r="G37" s="240" t="str">
        <f t="array" ref="G37">IFERROR(INDEX(productsQty, SMALL(IF(productsQty&lt;&gt;0, ROW(productsQty)-ROW('BHPC MANAGER'!$CD$10)+1), ROW(L24))), "")</f>
        <v/>
      </c>
      <c r="H37" s="573" t="str">
        <f t="array" ref="H37">IFERROR(INDEX(productsSalePrice, SMALL(IF(productsQty&lt;&gt;0, ROW(productsQty)-ROW('BHPC MANAGER'!$CD$10)+1), ROW(L24))), "")</f>
        <v/>
      </c>
      <c r="I37" s="240" t="str">
        <f t="array" ref="I37">IFERROR(INDEX(productsCartons, SMALL(IF(productsQty&lt;&gt;0, ROW(productsQty)-ROW('BHPC MANAGER'!$CD$10)+1), ROW(L24))), "")</f>
        <v/>
      </c>
      <c r="J37" s="573" t="str">
        <f t="shared" si="1"/>
        <v/>
      </c>
      <c r="K37" s="240" t="str">
        <f t="shared" si="2"/>
        <v/>
      </c>
    </row>
    <row r="38" spans="1:11" ht="15">
      <c r="A38" s="556" t="str">
        <f t="array" ref="A38">IFERROR(INDEX(productsSku, SMALL(IF(productsQty&lt;&gt;0, ROW(productsQty)-ROW('BHPC MANAGER'!$CD$10)+1), ROW(L25))), "")</f>
        <v/>
      </c>
      <c r="B38" s="237" t="str">
        <f t="array" ref="B38">IFERROR(INDEX(productsDescription, SMALL(IF(productsQty&lt;&gt;0, ROW(productsQty)-ROW('BHPC MANAGER'!$CD$10)+1), ROW(L25))), "")</f>
        <v/>
      </c>
      <c r="C38"/>
      <c r="D38"/>
      <c r="E38" s="209"/>
      <c r="F38" s="240" t="str">
        <f t="shared" si="0"/>
        <v/>
      </c>
      <c r="G38" s="240" t="str">
        <f t="array" ref="G38">IFERROR(INDEX(productsQty, SMALL(IF(productsQty&lt;&gt;0, ROW(productsQty)-ROW('BHPC MANAGER'!$CD$10)+1), ROW(L25))), "")</f>
        <v/>
      </c>
      <c r="H38" s="573" t="str">
        <f t="array" ref="H38">IFERROR(INDEX(productsSalePrice, SMALL(IF(productsQty&lt;&gt;0, ROW(productsQty)-ROW('BHPC MANAGER'!$CD$10)+1), ROW(L25))), "")</f>
        <v/>
      </c>
      <c r="I38" s="240" t="str">
        <f t="array" ref="I38">IFERROR(INDEX(productsCartons, SMALL(IF(productsQty&lt;&gt;0, ROW(productsQty)-ROW('BHPC MANAGER'!$CD$10)+1), ROW(L25))), "")</f>
        <v/>
      </c>
      <c r="J38" s="573" t="str">
        <f t="shared" si="1"/>
        <v/>
      </c>
      <c r="K38" s="240" t="str">
        <f t="shared" si="2"/>
        <v/>
      </c>
    </row>
    <row r="39" spans="1:11" ht="15">
      <c r="A39" s="556" t="str">
        <f t="array" ref="A39">IFERROR(INDEX(productsSku, SMALL(IF(productsQty&lt;&gt;0, ROW(productsQty)-ROW('BHPC MANAGER'!$CD$10)+1), ROW(L26))), "")</f>
        <v/>
      </c>
      <c r="B39" s="237" t="str">
        <f t="array" ref="B39">IFERROR(INDEX(productsDescription, SMALL(IF(productsQty&lt;&gt;0, ROW(productsQty)-ROW('BHPC MANAGER'!$CD$10)+1), ROW(L26))), "")</f>
        <v/>
      </c>
      <c r="C39"/>
      <c r="D39"/>
      <c r="E39" s="209"/>
      <c r="F39" s="240" t="str">
        <f t="shared" si="0"/>
        <v/>
      </c>
      <c r="G39" s="240" t="str">
        <f t="array" ref="G39">IFERROR(INDEX(productsQty, SMALL(IF(productsQty&lt;&gt;0, ROW(productsQty)-ROW('BHPC MANAGER'!$CD$10)+1), ROW(L26))), "")</f>
        <v/>
      </c>
      <c r="H39" s="573" t="str">
        <f t="array" ref="H39">IFERROR(INDEX(productsSalePrice, SMALL(IF(productsQty&lt;&gt;0, ROW(productsQty)-ROW('BHPC MANAGER'!$CD$10)+1), ROW(L26))), "")</f>
        <v/>
      </c>
      <c r="I39" s="240" t="str">
        <f t="array" ref="I39">IFERROR(INDEX(productsCartons, SMALL(IF(productsQty&lt;&gt;0, ROW(productsQty)-ROW('BHPC MANAGER'!$CD$10)+1), ROW(L26))), "")</f>
        <v/>
      </c>
      <c r="J39" s="573" t="str">
        <f t="shared" si="1"/>
        <v/>
      </c>
      <c r="K39" s="240" t="str">
        <f t="shared" si="2"/>
        <v/>
      </c>
    </row>
    <row r="40" spans="1:11" ht="15">
      <c r="A40" s="556" t="str">
        <f t="array" ref="A40">IFERROR(INDEX(productsSku, SMALL(IF(productsQty&lt;&gt;0, ROW(productsQty)-ROW('BHPC MANAGER'!$CD$10)+1), ROW(L27))), "")</f>
        <v/>
      </c>
      <c r="B40" s="237" t="str">
        <f t="array" ref="B40">IFERROR(INDEX(productsDescription, SMALL(IF(productsQty&lt;&gt;0, ROW(productsQty)-ROW('BHPC MANAGER'!$CD$10)+1), ROW(L27))), "")</f>
        <v/>
      </c>
      <c r="C40"/>
      <c r="D40"/>
      <c r="E40" s="209"/>
      <c r="F40" s="240" t="str">
        <f t="shared" si="0"/>
        <v/>
      </c>
      <c r="G40" s="240" t="str">
        <f t="array" ref="G40">IFERROR(INDEX(productsQty, SMALL(IF(productsQty&lt;&gt;0, ROW(productsQty)-ROW('BHPC MANAGER'!$CD$10)+1), ROW(L27))), "")</f>
        <v/>
      </c>
      <c r="H40" s="573" t="str">
        <f t="array" ref="H40">IFERROR(INDEX(productsSalePrice, SMALL(IF(productsQty&lt;&gt;0, ROW(productsQty)-ROW('BHPC MANAGER'!$CD$10)+1), ROW(L27))), "")</f>
        <v/>
      </c>
      <c r="I40" s="240" t="str">
        <f t="array" ref="I40">IFERROR(INDEX(productsCartons, SMALL(IF(productsQty&lt;&gt;0, ROW(productsQty)-ROW('BHPC MANAGER'!$CD$10)+1), ROW(L27))), "")</f>
        <v/>
      </c>
      <c r="J40" s="573" t="str">
        <f t="shared" si="1"/>
        <v/>
      </c>
      <c r="K40" s="240" t="str">
        <f t="shared" si="2"/>
        <v/>
      </c>
    </row>
    <row r="41" spans="1:11" ht="15">
      <c r="A41" s="556" t="str">
        <f t="array" ref="A41">IFERROR(INDEX(productsSku, SMALL(IF(productsQty&lt;&gt;0, ROW(productsQty)-ROW('BHPC MANAGER'!$CD$10)+1), ROW(L28))), "")</f>
        <v/>
      </c>
      <c r="B41" s="237" t="str">
        <f t="array" ref="B41">IFERROR(INDEX(productsDescription, SMALL(IF(productsQty&lt;&gt;0, ROW(productsQty)-ROW('BHPC MANAGER'!$CD$10)+1), ROW(L28))), "")</f>
        <v/>
      </c>
      <c r="C41"/>
      <c r="D41"/>
      <c r="E41" s="209"/>
      <c r="F41" s="240" t="str">
        <f t="shared" si="0"/>
        <v/>
      </c>
      <c r="G41" s="240" t="str">
        <f t="array" ref="G41">IFERROR(INDEX(productsQty, SMALL(IF(productsQty&lt;&gt;0, ROW(productsQty)-ROW('BHPC MANAGER'!$CD$10)+1), ROW(L28))), "")</f>
        <v/>
      </c>
      <c r="H41" s="573" t="str">
        <f t="array" ref="H41">IFERROR(INDEX(productsSalePrice, SMALL(IF(productsQty&lt;&gt;0, ROW(productsQty)-ROW('BHPC MANAGER'!$CD$10)+1), ROW(L28))), "")</f>
        <v/>
      </c>
      <c r="I41" s="240" t="str">
        <f t="array" ref="I41">IFERROR(INDEX(productsCartons, SMALL(IF(productsQty&lt;&gt;0, ROW(productsQty)-ROW('BHPC MANAGER'!$CD$10)+1), ROW(L28))), "")</f>
        <v/>
      </c>
      <c r="J41" s="573" t="str">
        <f t="shared" si="1"/>
        <v/>
      </c>
      <c r="K41" s="240" t="str">
        <f t="shared" si="2"/>
        <v/>
      </c>
    </row>
    <row r="42" spans="1:11" ht="15">
      <c r="A42" s="556" t="str">
        <f t="array" ref="A42">IFERROR(INDEX(productsSku, SMALL(IF(productsQty&lt;&gt;0, ROW(productsQty)-ROW('BHPC MANAGER'!$CD$10)+1), ROW(L29))), "")</f>
        <v/>
      </c>
      <c r="B42" s="237" t="str">
        <f t="array" ref="B42">IFERROR(INDEX(productsDescription, SMALL(IF(productsQty&lt;&gt;0, ROW(productsQty)-ROW('BHPC MANAGER'!$CD$10)+1), ROW(L29))), "")</f>
        <v/>
      </c>
      <c r="C42"/>
      <c r="D42"/>
      <c r="E42" s="209"/>
      <c r="F42" s="240" t="str">
        <f t="shared" si="0"/>
        <v/>
      </c>
      <c r="G42" s="240" t="str">
        <f t="array" ref="G42">IFERROR(INDEX(productsQty, SMALL(IF(productsQty&lt;&gt;0, ROW(productsQty)-ROW('BHPC MANAGER'!$CD$10)+1), ROW(L29))), "")</f>
        <v/>
      </c>
      <c r="H42" s="573" t="str">
        <f t="array" ref="H42">IFERROR(INDEX(productsSalePrice, SMALL(IF(productsQty&lt;&gt;0, ROW(productsQty)-ROW('BHPC MANAGER'!$CD$10)+1), ROW(L29))), "")</f>
        <v/>
      </c>
      <c r="I42" s="240" t="str">
        <f t="array" ref="I42">IFERROR(INDEX(productsCartons, SMALL(IF(productsQty&lt;&gt;0, ROW(productsQty)-ROW('BHPC MANAGER'!$CD$10)+1), ROW(L29))), "")</f>
        <v/>
      </c>
      <c r="J42" s="573" t="str">
        <f t="shared" si="1"/>
        <v/>
      </c>
      <c r="K42" s="240" t="str">
        <f t="shared" si="2"/>
        <v/>
      </c>
    </row>
    <row r="43" spans="1:11" ht="15">
      <c r="A43" s="556" t="str">
        <f t="array" ref="A43">IFERROR(INDEX(productsSku, SMALL(IF(productsQty&lt;&gt;0, ROW(productsQty)-ROW('BHPC MANAGER'!$CD$10)+1), ROW(L30))), "")</f>
        <v/>
      </c>
      <c r="B43" s="237" t="str">
        <f t="array" ref="B43">IFERROR(INDEX(productsDescription, SMALL(IF(productsQty&lt;&gt;0, ROW(productsQty)-ROW('BHPC MANAGER'!$CD$10)+1), ROW(L30))), "")</f>
        <v/>
      </c>
      <c r="C43"/>
      <c r="D43"/>
      <c r="E43" s="209"/>
      <c r="F43" s="240" t="str">
        <f t="shared" si="0"/>
        <v/>
      </c>
      <c r="G43" s="240" t="str">
        <f t="array" ref="G43">IFERROR(INDEX(productsQty, SMALL(IF(productsQty&lt;&gt;0, ROW(productsQty)-ROW('BHPC MANAGER'!$CD$10)+1), ROW(L30))), "")</f>
        <v/>
      </c>
      <c r="H43" s="573" t="str">
        <f t="array" ref="H43">IFERROR(INDEX(productsSalePrice, SMALL(IF(productsQty&lt;&gt;0, ROW(productsQty)-ROW('BHPC MANAGER'!$CD$10)+1), ROW(L30))), "")</f>
        <v/>
      </c>
      <c r="I43" s="240" t="str">
        <f t="array" ref="I43">IFERROR(INDEX(productsCartons, SMALL(IF(productsQty&lt;&gt;0, ROW(productsQty)-ROW('BHPC MANAGER'!$CD$10)+1), ROW(L30))), "")</f>
        <v/>
      </c>
      <c r="J43" s="573" t="str">
        <f t="shared" si="1"/>
        <v/>
      </c>
      <c r="K43" s="240" t="str">
        <f t="shared" si="2"/>
        <v/>
      </c>
    </row>
    <row r="44" spans="1:11" ht="15">
      <c r="A44" s="556" t="str">
        <f t="array" ref="A44">IFERROR(INDEX(productsSku, SMALL(IF(productsQty&lt;&gt;0, ROW(productsQty)-ROW('BHPC MANAGER'!$CD$10)+1), ROW(L31))), "")</f>
        <v/>
      </c>
      <c r="B44" s="237" t="str">
        <f t="array" ref="B44">IFERROR(INDEX(productsDescription, SMALL(IF(productsQty&lt;&gt;0, ROW(productsQty)-ROW('BHPC MANAGER'!$CD$10)+1), ROW(L31))), "")</f>
        <v/>
      </c>
      <c r="C44"/>
      <c r="D44"/>
      <c r="E44" s="209"/>
      <c r="F44" s="240" t="str">
        <f t="shared" si="0"/>
        <v/>
      </c>
      <c r="G44" s="240" t="str">
        <f t="array" ref="G44">IFERROR(INDEX(productsQty, SMALL(IF(productsQty&lt;&gt;0, ROW(productsQty)-ROW('BHPC MANAGER'!$CD$10)+1), ROW(L31))), "")</f>
        <v/>
      </c>
      <c r="H44" s="573" t="str">
        <f t="array" ref="H44">IFERROR(INDEX(productsSalePrice, SMALL(IF(productsQty&lt;&gt;0, ROW(productsQty)-ROW('BHPC MANAGER'!$CD$10)+1), ROW(L31))), "")</f>
        <v/>
      </c>
      <c r="I44" s="240" t="str">
        <f t="array" ref="I44">IFERROR(INDEX(productsCartons, SMALL(IF(productsQty&lt;&gt;0, ROW(productsQty)-ROW('BHPC MANAGER'!$CD$10)+1), ROW(L31))), "")</f>
        <v/>
      </c>
      <c r="J44" s="573" t="str">
        <f t="shared" si="1"/>
        <v/>
      </c>
      <c r="K44" s="240" t="str">
        <f t="shared" si="2"/>
        <v/>
      </c>
    </row>
    <row r="45" spans="1:11" ht="15">
      <c r="A45" s="556" t="str">
        <f t="array" ref="A45">IFERROR(INDEX(productsSku, SMALL(IF(productsQty&lt;&gt;0, ROW(productsQty)-ROW('BHPC MANAGER'!$CD$10)+1), ROW(L32))), "")</f>
        <v/>
      </c>
      <c r="B45" s="237" t="str">
        <f t="array" ref="B45">IFERROR(INDEX(productsDescription, SMALL(IF(productsQty&lt;&gt;0, ROW(productsQty)-ROW('BHPC MANAGER'!$CD$10)+1), ROW(L32))), "")</f>
        <v/>
      </c>
      <c r="C45"/>
      <c r="D45"/>
      <c r="E45" s="209"/>
      <c r="F45" s="240" t="str">
        <f t="shared" si="0"/>
        <v/>
      </c>
      <c r="G45" s="240" t="str">
        <f t="array" ref="G45">IFERROR(INDEX(productsQty, SMALL(IF(productsQty&lt;&gt;0, ROW(productsQty)-ROW('BHPC MANAGER'!$CD$10)+1), ROW(L32))), "")</f>
        <v/>
      </c>
      <c r="H45" s="573" t="str">
        <f t="array" ref="H45">IFERROR(INDEX(productsSalePrice, SMALL(IF(productsQty&lt;&gt;0, ROW(productsQty)-ROW('BHPC MANAGER'!$CD$10)+1), ROW(L32))), "")</f>
        <v/>
      </c>
      <c r="I45" s="240" t="str">
        <f t="array" ref="I45">IFERROR(INDEX(productsCartons, SMALL(IF(productsQty&lt;&gt;0, ROW(productsQty)-ROW('BHPC MANAGER'!$CD$10)+1), ROW(L32))), "")</f>
        <v/>
      </c>
      <c r="J45" s="573" t="str">
        <f t="shared" si="1"/>
        <v/>
      </c>
      <c r="K45" s="240" t="str">
        <f t="shared" si="2"/>
        <v/>
      </c>
    </row>
    <row r="46" spans="1:11" ht="15">
      <c r="A46" s="556" t="str">
        <f t="array" ref="A46">IFERROR(INDEX(productsSku, SMALL(IF(productsQty&lt;&gt;0, ROW(productsQty)-ROW('BHPC MANAGER'!$CD$10)+1), ROW(L33))), "")</f>
        <v/>
      </c>
      <c r="B46" s="237" t="str">
        <f t="array" ref="B46">IFERROR(INDEX(productsDescription, SMALL(IF(productsQty&lt;&gt;0, ROW(productsQty)-ROW('BHPC MANAGER'!$CD$10)+1), ROW(L33))), "")</f>
        <v/>
      </c>
      <c r="C46"/>
      <c r="D46"/>
      <c r="E46" s="209"/>
      <c r="F46" s="240" t="str">
        <f t="shared" si="0"/>
        <v/>
      </c>
      <c r="G46" s="240" t="str">
        <f t="array" ref="G46">IFERROR(INDEX(productsQty, SMALL(IF(productsQty&lt;&gt;0, ROW(productsQty)-ROW('BHPC MANAGER'!$CD$10)+1), ROW(L33))), "")</f>
        <v/>
      </c>
      <c r="H46" s="573" t="str">
        <f t="array" ref="H46">IFERROR(INDEX(productsSalePrice, SMALL(IF(productsQty&lt;&gt;0, ROW(productsQty)-ROW('BHPC MANAGER'!$CD$10)+1), ROW(L33))), "")</f>
        <v/>
      </c>
      <c r="I46" s="240" t="str">
        <f t="array" ref="I46">IFERROR(INDEX(productsCartons, SMALL(IF(productsQty&lt;&gt;0, ROW(productsQty)-ROW('BHPC MANAGER'!$CD$10)+1), ROW(L33))), "")</f>
        <v/>
      </c>
      <c r="J46" s="573" t="str">
        <f t="shared" si="1"/>
        <v/>
      </c>
      <c r="K46" s="240" t="str">
        <f t="shared" si="2"/>
        <v/>
      </c>
    </row>
    <row r="47" spans="1:11" ht="15">
      <c r="A47" s="556" t="str">
        <f t="array" ref="A47">IFERROR(INDEX(productsSku, SMALL(IF(productsQty&lt;&gt;0, ROW(productsQty)-ROW('BHPC MANAGER'!$CD$10)+1), ROW(L34))), "")</f>
        <v/>
      </c>
      <c r="B47" s="237" t="str">
        <f t="array" ref="B47">IFERROR(INDEX(productsDescription, SMALL(IF(productsQty&lt;&gt;0, ROW(productsQty)-ROW('BHPC MANAGER'!$CD$10)+1), ROW(L34))), "")</f>
        <v/>
      </c>
      <c r="C47"/>
      <c r="D47"/>
      <c r="E47" s="209"/>
      <c r="F47" s="240" t="str">
        <f t="shared" si="0"/>
        <v/>
      </c>
      <c r="G47" s="240" t="str">
        <f t="array" ref="G47">IFERROR(INDEX(productsQty, SMALL(IF(productsQty&lt;&gt;0, ROW(productsQty)-ROW('BHPC MANAGER'!$CD$10)+1), ROW(L34))), "")</f>
        <v/>
      </c>
      <c r="H47" s="573" t="str">
        <f t="array" ref="H47">IFERROR(INDEX(productsSalePrice, SMALL(IF(productsQty&lt;&gt;0, ROW(productsQty)-ROW('BHPC MANAGER'!$CD$10)+1), ROW(L34))), "")</f>
        <v/>
      </c>
      <c r="I47" s="240" t="str">
        <f t="array" ref="I47">IFERROR(INDEX(productsCartons, SMALL(IF(productsQty&lt;&gt;0, ROW(productsQty)-ROW('BHPC MANAGER'!$CD$10)+1), ROW(L34))), "")</f>
        <v/>
      </c>
      <c r="J47" s="573" t="str">
        <f t="shared" si="1"/>
        <v/>
      </c>
      <c r="K47" s="240" t="str">
        <f t="shared" si="2"/>
        <v/>
      </c>
    </row>
    <row r="48" spans="1:11" ht="15">
      <c r="A48" s="556" t="str">
        <f t="array" ref="A48">IFERROR(INDEX(productsSku, SMALL(IF(productsQty&lt;&gt;0, ROW(productsQty)-ROW('BHPC MANAGER'!$CD$10)+1), ROW(L35))), "")</f>
        <v/>
      </c>
      <c r="B48" s="237" t="str">
        <f t="array" ref="B48">IFERROR(INDEX(productsDescription, SMALL(IF(productsQty&lt;&gt;0, ROW(productsQty)-ROW('BHPC MANAGER'!$CD$10)+1), ROW(L35))), "")</f>
        <v/>
      </c>
      <c r="C48"/>
      <c r="D48"/>
      <c r="E48" s="209"/>
      <c r="F48" s="240" t="str">
        <f t="shared" si="0"/>
        <v/>
      </c>
      <c r="G48" s="240" t="str">
        <f t="array" ref="G48">IFERROR(INDEX(productsQty, SMALL(IF(productsQty&lt;&gt;0, ROW(productsQty)-ROW('BHPC MANAGER'!$CD$10)+1), ROW(L35))), "")</f>
        <v/>
      </c>
      <c r="H48" s="573" t="str">
        <f t="array" ref="H48">IFERROR(INDEX(productsSalePrice, SMALL(IF(productsQty&lt;&gt;0, ROW(productsQty)-ROW('BHPC MANAGER'!$CD$10)+1), ROW(L35))), "")</f>
        <v/>
      </c>
      <c r="I48" s="240" t="str">
        <f t="array" ref="I48">IFERROR(INDEX(productsCartons, SMALL(IF(productsQty&lt;&gt;0, ROW(productsQty)-ROW('BHPC MANAGER'!$CD$10)+1), ROW(L35))), "")</f>
        <v/>
      </c>
      <c r="J48" s="573" t="str">
        <f t="shared" si="1"/>
        <v/>
      </c>
      <c r="K48" s="240" t="str">
        <f t="shared" si="2"/>
        <v/>
      </c>
    </row>
    <row r="49" spans="1:11" ht="15">
      <c r="A49" s="556" t="str">
        <f t="array" ref="A49">IFERROR(INDEX(productsSku, SMALL(IF(productsQty&lt;&gt;0, ROW(productsQty)-ROW('BHPC MANAGER'!$CD$10)+1), ROW(L36))), "")</f>
        <v/>
      </c>
      <c r="B49" s="237" t="str">
        <f t="array" ref="B49">IFERROR(INDEX(productsDescription, SMALL(IF(productsQty&lt;&gt;0, ROW(productsQty)-ROW('BHPC MANAGER'!$CD$10)+1), ROW(L36))), "")</f>
        <v/>
      </c>
      <c r="C49"/>
      <c r="D49"/>
      <c r="E49" s="209"/>
      <c r="F49" s="240" t="str">
        <f t="shared" si="0"/>
        <v/>
      </c>
      <c r="G49" s="240" t="str">
        <f t="array" ref="G49">IFERROR(INDEX(productsQty, SMALL(IF(productsQty&lt;&gt;0, ROW(productsQty)-ROW('BHPC MANAGER'!$CD$10)+1), ROW(L36))), "")</f>
        <v/>
      </c>
      <c r="H49" s="573" t="str">
        <f t="array" ref="H49">IFERROR(INDEX(productsSalePrice, SMALL(IF(productsQty&lt;&gt;0, ROW(productsQty)-ROW('BHPC MANAGER'!$CD$10)+1), ROW(L36))), "")</f>
        <v/>
      </c>
      <c r="I49" s="240" t="str">
        <f t="array" ref="I49">IFERROR(INDEX(productsCartons, SMALL(IF(productsQty&lt;&gt;0, ROW(productsQty)-ROW('BHPC MANAGER'!$CD$10)+1), ROW(L36))), "")</f>
        <v/>
      </c>
      <c r="J49" s="573" t="str">
        <f t="shared" si="1"/>
        <v/>
      </c>
      <c r="K49" s="240" t="str">
        <f t="shared" si="2"/>
        <v/>
      </c>
    </row>
    <row r="50" spans="1:11" ht="15">
      <c r="A50" s="556"/>
      <c r="B50" s="237"/>
      <c r="C50"/>
      <c r="D50"/>
      <c r="E50" s="209"/>
      <c r="F50" s="240"/>
      <c r="G50" s="240"/>
      <c r="H50" s="573"/>
      <c r="I50" s="240"/>
      <c r="J50" s="573"/>
      <c r="K50" s="240"/>
    </row>
    <row r="51" spans="1:11" ht="15">
      <c r="A51" s="556"/>
      <c r="B51" s="237"/>
      <c r="C51"/>
      <c r="D51"/>
      <c r="E51" s="209"/>
      <c r="F51" s="240"/>
      <c r="G51" s="240"/>
      <c r="H51" s="573"/>
      <c r="I51" s="240"/>
      <c r="J51" s="573"/>
      <c r="K51" s="240"/>
    </row>
    <row r="52" spans="1:11" ht="15">
      <c r="A52" s="556"/>
      <c r="B52" s="237"/>
      <c r="C52"/>
      <c r="D52"/>
      <c r="E52" s="209"/>
      <c r="F52" s="240"/>
      <c r="G52" s="240"/>
      <c r="H52" s="573"/>
      <c r="I52" s="240"/>
      <c r="J52" s="573"/>
      <c r="K52" s="240"/>
    </row>
    <row r="53" spans="1:11" ht="15">
      <c r="A53" s="556"/>
      <c r="B53" s="237"/>
      <c r="C53"/>
      <c r="D53"/>
      <c r="E53" s="209"/>
      <c r="F53" s="240"/>
      <c r="G53" s="240"/>
      <c r="H53" s="573"/>
      <c r="I53" s="240"/>
      <c r="J53" s="573"/>
      <c r="K53" s="240"/>
    </row>
    <row r="54" spans="1:11" ht="15">
      <c r="A54" s="556"/>
      <c r="B54" s="237"/>
      <c r="C54"/>
      <c r="D54"/>
      <c r="E54" s="209"/>
      <c r="F54" s="240"/>
      <c r="G54" s="240"/>
      <c r="H54" s="573"/>
      <c r="I54" s="240"/>
      <c r="J54" s="573"/>
      <c r="K54" s="240"/>
    </row>
    <row r="55" spans="1:11" ht="15">
      <c r="A55" s="556"/>
      <c r="B55" s="237"/>
      <c r="C55"/>
      <c r="D55"/>
      <c r="E55" s="209"/>
      <c r="F55" s="240"/>
      <c r="G55" s="240"/>
      <c r="H55" s="573"/>
      <c r="I55" s="240"/>
      <c r="J55" s="573"/>
      <c r="K55" s="240"/>
    </row>
    <row r="56" spans="1:11" ht="15">
      <c r="A56" s="556"/>
      <c r="B56" s="237"/>
      <c r="C56"/>
      <c r="D56"/>
      <c r="E56" s="209"/>
      <c r="F56" s="240"/>
      <c r="G56" s="240"/>
      <c r="H56" s="573"/>
      <c r="I56" s="240"/>
      <c r="J56" s="573"/>
      <c r="K56" s="240"/>
    </row>
    <row r="57" spans="1:11" ht="15">
      <c r="A57" s="556"/>
      <c r="B57" s="237"/>
      <c r="C57"/>
      <c r="D57"/>
      <c r="E57" s="209"/>
      <c r="F57" s="240"/>
      <c r="G57" s="240"/>
      <c r="H57" s="573"/>
      <c r="I57" s="240"/>
      <c r="J57" s="573"/>
      <c r="K57" s="240"/>
    </row>
    <row r="58" spans="1:11" ht="15">
      <c r="A58" s="556"/>
      <c r="B58" s="237"/>
      <c r="C58"/>
      <c r="D58"/>
      <c r="E58" s="209"/>
      <c r="F58" s="240"/>
      <c r="G58" s="240"/>
      <c r="H58" s="573"/>
      <c r="I58" s="240"/>
      <c r="J58" s="573"/>
      <c r="K58" s="240"/>
    </row>
    <row r="59" spans="1:11" ht="15">
      <c r="A59" s="556"/>
      <c r="B59" s="237"/>
      <c r="C59"/>
      <c r="D59"/>
      <c r="E59" s="209"/>
      <c r="F59" s="240"/>
      <c r="G59" s="240"/>
      <c r="H59" s="573"/>
      <c r="I59" s="240"/>
      <c r="J59" s="573"/>
      <c r="K59" s="240"/>
    </row>
    <row r="60" spans="1:11">
      <c r="A60" s="737"/>
      <c r="B60" s="739"/>
      <c r="C60" s="737"/>
      <c r="D60" s="739"/>
      <c r="E60" s="737"/>
      <c r="F60" s="738"/>
      <c r="G60" s="739"/>
      <c r="H60" s="767" t="s">
        <v>553</v>
      </c>
      <c r="I60" s="738"/>
      <c r="J60" s="768"/>
      <c r="K60" s="739"/>
    </row>
    <row r="61" spans="1:11" s="225" customFormat="1" ht="14.45" customHeight="1">
      <c r="A61" s="742"/>
      <c r="B61" s="743"/>
      <c r="C61" s="742"/>
      <c r="D61" s="743"/>
      <c r="E61" s="744"/>
      <c r="F61" s="745"/>
      <c r="G61" s="746"/>
      <c r="H61" s="734">
        <f>SUM(J14:J59)</f>
        <v>8409.6</v>
      </c>
      <c r="I61" s="735"/>
      <c r="J61" s="735"/>
      <c r="K61" s="736"/>
    </row>
    <row r="62" spans="1:11">
      <c r="A62" s="737" t="s">
        <v>554</v>
      </c>
      <c r="B62" s="739"/>
      <c r="C62" s="226" t="s">
        <v>555</v>
      </c>
      <c r="D62" s="737" t="s">
        <v>556</v>
      </c>
      <c r="E62" s="739"/>
      <c r="F62" s="737" t="s">
        <v>557</v>
      </c>
      <c r="G62" s="739"/>
      <c r="H62" s="765" t="s">
        <v>558</v>
      </c>
      <c r="I62" s="731"/>
      <c r="J62" s="766"/>
      <c r="K62" s="733"/>
    </row>
    <row r="63" spans="1:11" ht="14.45" customHeight="1">
      <c r="A63" s="716" t="s">
        <v>260</v>
      </c>
      <c r="B63" s="717"/>
      <c r="C63" s="720" t="s">
        <v>259</v>
      </c>
      <c r="D63" s="722">
        <f>H61</f>
        <v>8409.6</v>
      </c>
      <c r="E63" s="723"/>
      <c r="F63" s="726">
        <f>IF(C63="022",22%,0)</f>
        <v>0</v>
      </c>
      <c r="G63" s="727"/>
      <c r="H63" s="734">
        <f>H61</f>
        <v>8409.6</v>
      </c>
      <c r="I63" s="735"/>
      <c r="J63" s="735"/>
      <c r="K63" s="736"/>
    </row>
    <row r="64" spans="1:11">
      <c r="A64" s="716"/>
      <c r="B64" s="717"/>
      <c r="C64" s="720"/>
      <c r="D64" s="722"/>
      <c r="E64" s="723"/>
      <c r="F64" s="726"/>
      <c r="G64" s="727"/>
      <c r="H64" s="765" t="s">
        <v>559</v>
      </c>
      <c r="I64" s="731"/>
      <c r="J64" s="766"/>
      <c r="K64" s="733"/>
    </row>
    <row r="65" spans="1:14" ht="14.45" customHeight="1">
      <c r="A65" s="716"/>
      <c r="B65" s="717"/>
      <c r="C65" s="720"/>
      <c r="D65" s="722"/>
      <c r="E65" s="723"/>
      <c r="F65" s="726"/>
      <c r="G65" s="727"/>
      <c r="H65" s="734">
        <f>SEJ63*F63</f>
        <v>0</v>
      </c>
      <c r="I65" s="735"/>
      <c r="J65" s="735"/>
      <c r="K65" s="736"/>
    </row>
    <row r="66" spans="1:14">
      <c r="A66" s="716"/>
      <c r="B66" s="717"/>
      <c r="C66" s="720"/>
      <c r="D66" s="722"/>
      <c r="E66" s="723"/>
      <c r="F66" s="726"/>
      <c r="G66" s="727"/>
      <c r="H66" s="765" t="s">
        <v>560</v>
      </c>
      <c r="I66" s="731"/>
      <c r="J66" s="766"/>
      <c r="K66" s="733"/>
    </row>
    <row r="67" spans="1:14" ht="14.45" customHeight="1">
      <c r="A67" s="718"/>
      <c r="B67" s="719"/>
      <c r="C67" s="721"/>
      <c r="D67" s="724"/>
      <c r="E67" s="725"/>
      <c r="F67" s="728"/>
      <c r="G67" s="729"/>
      <c r="H67" s="734">
        <f>H61+H65</f>
        <v>8409.6</v>
      </c>
      <c r="I67" s="735"/>
      <c r="J67" s="735"/>
      <c r="K67" s="736"/>
    </row>
    <row r="68" spans="1:14">
      <c r="A68" s="701" t="s">
        <v>561</v>
      </c>
      <c r="B68" s="702"/>
      <c r="C68" s="702"/>
      <c r="D68" s="702"/>
      <c r="E68" s="702"/>
      <c r="F68" s="702"/>
      <c r="G68" s="702"/>
      <c r="H68" s="778"/>
      <c r="I68" s="702"/>
      <c r="J68" s="778"/>
      <c r="K68" s="704"/>
    </row>
    <row r="69" spans="1:14" s="227" customFormat="1" ht="10.5" customHeight="1">
      <c r="A69" s="705" t="s">
        <v>562</v>
      </c>
      <c r="B69" s="706"/>
      <c r="C69" s="706"/>
      <c r="D69" s="706"/>
      <c r="E69" s="706"/>
      <c r="F69" s="706"/>
      <c r="G69" s="706"/>
      <c r="H69" s="779"/>
      <c r="I69" s="706"/>
      <c r="J69" s="779"/>
      <c r="K69" s="708"/>
      <c r="M69" s="211"/>
      <c r="N69" s="211"/>
    </row>
    <row r="70" spans="1:14" s="228" customFormat="1" ht="7.5" customHeight="1">
      <c r="A70" s="701" t="s">
        <v>563</v>
      </c>
      <c r="B70" s="709" t="s">
        <v>564</v>
      </c>
      <c r="C70" s="709"/>
      <c r="D70" s="709"/>
      <c r="E70" s="709"/>
      <c r="F70" s="709"/>
      <c r="G70" s="709"/>
      <c r="H70" s="780"/>
      <c r="I70" s="709"/>
      <c r="J70" s="780"/>
      <c r="K70" s="711"/>
      <c r="M70" s="211"/>
      <c r="N70" s="211"/>
    </row>
    <row r="71" spans="1:14">
      <c r="A71" s="705"/>
      <c r="B71" s="712"/>
      <c r="C71" s="712"/>
      <c r="D71" s="712"/>
      <c r="E71" s="712"/>
      <c r="F71" s="712"/>
      <c r="G71" s="712"/>
      <c r="H71" s="781"/>
      <c r="I71" s="712"/>
      <c r="J71" s="781"/>
      <c r="K71" s="714"/>
    </row>
    <row r="72" spans="1:14" s="228" customFormat="1" ht="11.25">
      <c r="A72" s="698" t="s">
        <v>565</v>
      </c>
      <c r="B72" s="698"/>
      <c r="C72" s="698"/>
      <c r="D72" s="698"/>
      <c r="E72" s="698"/>
      <c r="F72" s="698"/>
      <c r="G72" s="698"/>
      <c r="H72" s="774"/>
      <c r="I72" s="698"/>
      <c r="J72" s="774"/>
      <c r="K72" s="698"/>
    </row>
    <row r="73" spans="1:14">
      <c r="A73" s="698" t="s">
        <v>566</v>
      </c>
      <c r="B73" s="698"/>
      <c r="C73" s="698"/>
      <c r="D73" s="698"/>
      <c r="E73" s="698"/>
      <c r="F73" s="698"/>
      <c r="G73" s="698"/>
      <c r="H73" s="774"/>
      <c r="I73" s="698"/>
      <c r="J73" s="774"/>
      <c r="K73" s="698"/>
    </row>
    <row r="74" spans="1:14">
      <c r="A74" s="698" t="s">
        <v>567</v>
      </c>
      <c r="B74" s="699"/>
      <c r="C74" s="699"/>
      <c r="D74" s="699"/>
      <c r="E74" s="699"/>
      <c r="F74" s="699"/>
      <c r="G74" s="699"/>
      <c r="H74" s="775"/>
      <c r="I74" s="699"/>
      <c r="J74" s="775"/>
      <c r="K74" s="699"/>
    </row>
    <row r="75" spans="1:14">
      <c r="H75" s="242"/>
      <c r="J75" s="242"/>
    </row>
    <row r="76" spans="1:14">
      <c r="H76" s="242"/>
      <c r="J76" s="242"/>
    </row>
    <row r="77" spans="1:14">
      <c r="H77" s="242"/>
      <c r="J77" s="242"/>
    </row>
    <row r="78" spans="1:14">
      <c r="H78" s="242"/>
      <c r="J78" s="242"/>
    </row>
    <row r="79" spans="1:14">
      <c r="H79" s="242"/>
      <c r="J79" s="242"/>
    </row>
    <row r="80" spans="1:14">
      <c r="H80" s="242"/>
      <c r="J80" s="242"/>
    </row>
    <row r="81" spans="8:10">
      <c r="H81" s="242"/>
      <c r="J81" s="242"/>
    </row>
    <row r="82" spans="8:10">
      <c r="H82" s="242"/>
      <c r="J82" s="242"/>
    </row>
    <row r="83" spans="8:10">
      <c r="H83" s="242"/>
      <c r="J83" s="242"/>
    </row>
    <row r="84" spans="8:10">
      <c r="H84" s="242"/>
      <c r="J84" s="242"/>
    </row>
    <row r="85" spans="8:10">
      <c r="H85" s="242"/>
      <c r="J85" s="242"/>
    </row>
    <row r="86" spans="8:10">
      <c r="H86" s="242"/>
      <c r="J86" s="242"/>
    </row>
    <row r="87" spans="8:10">
      <c r="H87" s="242"/>
      <c r="J87" s="242"/>
    </row>
    <row r="88" spans="8:10">
      <c r="H88" s="242"/>
      <c r="J88" s="242"/>
    </row>
    <row r="89" spans="8:10">
      <c r="H89" s="242"/>
      <c r="J89" s="242"/>
    </row>
    <row r="90" spans="8:10">
      <c r="H90" s="242"/>
      <c r="J90" s="242"/>
    </row>
    <row r="91" spans="8:10">
      <c r="H91" s="242"/>
      <c r="J91" s="242"/>
    </row>
    <row r="92" spans="8:10">
      <c r="H92" s="242"/>
      <c r="J92" s="242"/>
    </row>
    <row r="93" spans="8:10">
      <c r="H93" s="242"/>
      <c r="J93" s="242"/>
    </row>
    <row r="94" spans="8:10">
      <c r="H94" s="242"/>
      <c r="J94" s="242"/>
    </row>
    <row r="95" spans="8:10">
      <c r="H95" s="242"/>
      <c r="J95" s="242"/>
    </row>
    <row r="96" spans="8:10">
      <c r="H96" s="242"/>
      <c r="J96" s="242"/>
    </row>
    <row r="97" spans="8:10">
      <c r="H97" s="242"/>
      <c r="J97" s="242"/>
    </row>
    <row r="98" spans="8:10">
      <c r="H98" s="242"/>
      <c r="J98" s="242"/>
    </row>
    <row r="99" spans="8:10">
      <c r="H99" s="242"/>
      <c r="J99" s="242"/>
    </row>
    <row r="100" spans="8:10">
      <c r="H100" s="242"/>
      <c r="J100" s="242"/>
    </row>
    <row r="101" spans="8:10">
      <c r="H101" s="242"/>
      <c r="J101" s="242"/>
    </row>
    <row r="102" spans="8:10">
      <c r="H102" s="242"/>
      <c r="J102" s="242"/>
    </row>
    <row r="103" spans="8:10">
      <c r="H103" s="242"/>
      <c r="J103" s="242"/>
    </row>
    <row r="104" spans="8:10">
      <c r="H104" s="242"/>
      <c r="J104" s="242"/>
    </row>
    <row r="105" spans="8:10">
      <c r="H105" s="242"/>
      <c r="J105" s="242"/>
    </row>
    <row r="106" spans="8:10">
      <c r="H106" s="242"/>
      <c r="J106" s="242"/>
    </row>
    <row r="107" spans="8:10">
      <c r="H107" s="242"/>
      <c r="J107" s="242"/>
    </row>
    <row r="108" spans="8:10">
      <c r="H108" s="242"/>
      <c r="J108" s="242"/>
    </row>
    <row r="109" spans="8:10">
      <c r="H109" s="242"/>
      <c r="J109" s="242"/>
    </row>
    <row r="110" spans="8:10">
      <c r="H110" s="242"/>
      <c r="J110" s="242"/>
    </row>
    <row r="111" spans="8:10">
      <c r="H111" s="242"/>
      <c r="J111" s="242"/>
    </row>
    <row r="112" spans="8:10">
      <c r="H112" s="242"/>
      <c r="J112" s="242"/>
    </row>
    <row r="113" spans="8:10">
      <c r="H113" s="242"/>
      <c r="J113" s="242"/>
    </row>
    <row r="114" spans="8:10">
      <c r="H114" s="242"/>
      <c r="J114" s="242"/>
    </row>
    <row r="115" spans="8:10">
      <c r="H115" s="242"/>
      <c r="J115" s="242"/>
    </row>
    <row r="116" spans="8:10">
      <c r="H116" s="242"/>
      <c r="J116" s="242"/>
    </row>
    <row r="117" spans="8:10">
      <c r="H117" s="242"/>
      <c r="J117" s="242"/>
    </row>
    <row r="118" spans="8:10">
      <c r="H118" s="242"/>
      <c r="J118" s="242"/>
    </row>
    <row r="119" spans="8:10">
      <c r="H119" s="242"/>
      <c r="J119" s="242"/>
    </row>
    <row r="120" spans="8:10">
      <c r="H120" s="242"/>
      <c r="J120" s="242"/>
    </row>
    <row r="121" spans="8:10">
      <c r="H121" s="242"/>
      <c r="J121" s="242"/>
    </row>
    <row r="122" spans="8:10">
      <c r="H122" s="242"/>
      <c r="J122" s="242"/>
    </row>
    <row r="123" spans="8:10">
      <c r="H123" s="242"/>
      <c r="J123" s="242"/>
    </row>
    <row r="124" spans="8:10">
      <c r="H124" s="242"/>
      <c r="J124" s="242"/>
    </row>
    <row r="125" spans="8:10">
      <c r="H125" s="242"/>
      <c r="J125" s="242"/>
    </row>
    <row r="126" spans="8:10">
      <c r="H126" s="242"/>
      <c r="J126" s="242"/>
    </row>
    <row r="127" spans="8:10">
      <c r="H127" s="242"/>
      <c r="J127" s="242"/>
    </row>
    <row r="128" spans="8:10">
      <c r="H128" s="242"/>
      <c r="J128" s="242"/>
    </row>
    <row r="129" spans="8:10">
      <c r="H129" s="242"/>
      <c r="J129" s="242"/>
    </row>
    <row r="130" spans="8:10">
      <c r="H130" s="242"/>
      <c r="J130" s="242"/>
    </row>
    <row r="131" spans="8:10">
      <c r="H131" s="242"/>
      <c r="J131" s="242"/>
    </row>
    <row r="132" spans="8:10">
      <c r="H132" s="242"/>
      <c r="J132" s="242"/>
    </row>
    <row r="133" spans="8:10">
      <c r="H133" s="242"/>
      <c r="J133" s="242"/>
    </row>
    <row r="134" spans="8:10">
      <c r="H134" s="242"/>
      <c r="J134" s="242"/>
    </row>
    <row r="135" spans="8:10">
      <c r="H135" s="242"/>
      <c r="J135" s="242"/>
    </row>
    <row r="136" spans="8:10">
      <c r="H136" s="242"/>
      <c r="J136" s="242"/>
    </row>
    <row r="137" spans="8:10">
      <c r="H137" s="242"/>
      <c r="J137" s="242"/>
    </row>
    <row r="138" spans="8:10">
      <c r="H138" s="242"/>
      <c r="J138" s="242"/>
    </row>
    <row r="139" spans="8:10">
      <c r="H139" s="242"/>
      <c r="J139" s="242"/>
    </row>
    <row r="140" spans="8:10">
      <c r="H140" s="242"/>
      <c r="J140" s="242"/>
    </row>
    <row r="141" spans="8:10">
      <c r="H141" s="242"/>
      <c r="J141" s="242"/>
    </row>
    <row r="142" spans="8:10">
      <c r="H142" s="242"/>
      <c r="J142" s="242"/>
    </row>
    <row r="143" spans="8:10">
      <c r="H143" s="242"/>
      <c r="J143" s="242"/>
    </row>
    <row r="144" spans="8:10">
      <c r="H144" s="242"/>
      <c r="J144" s="242"/>
    </row>
    <row r="145" spans="8:10">
      <c r="H145" s="242"/>
      <c r="J145" s="242"/>
    </row>
    <row r="146" spans="8:10">
      <c r="H146" s="242"/>
      <c r="J146" s="242"/>
    </row>
    <row r="147" spans="8:10">
      <c r="H147" s="242"/>
      <c r="J147" s="242"/>
    </row>
    <row r="148" spans="8:10">
      <c r="H148" s="242"/>
      <c r="J148" s="242"/>
    </row>
    <row r="149" spans="8:10">
      <c r="H149" s="242"/>
      <c r="J149" s="242"/>
    </row>
    <row r="150" spans="8:10">
      <c r="H150" s="242"/>
      <c r="J150" s="242"/>
    </row>
    <row r="151" spans="8:10">
      <c r="H151" s="242"/>
      <c r="J151" s="242"/>
    </row>
    <row r="152" spans="8:10">
      <c r="H152" s="242"/>
      <c r="J152" s="242"/>
    </row>
    <row r="153" spans="8:10">
      <c r="H153" s="242"/>
      <c r="J153" s="242"/>
    </row>
    <row r="154" spans="8:10">
      <c r="H154" s="242"/>
      <c r="J154" s="242"/>
    </row>
    <row r="155" spans="8:10">
      <c r="H155" s="242"/>
      <c r="J155" s="242"/>
    </row>
    <row r="156" spans="8:10">
      <c r="H156" s="242"/>
      <c r="J156" s="242"/>
    </row>
    <row r="157" spans="8:10">
      <c r="H157" s="242"/>
      <c r="J157" s="242"/>
    </row>
    <row r="158" spans="8:10">
      <c r="H158" s="242"/>
      <c r="J158" s="242"/>
    </row>
    <row r="159" spans="8:10">
      <c r="H159" s="242"/>
      <c r="J159" s="242"/>
    </row>
    <row r="160" spans="8:10">
      <c r="H160" s="242"/>
      <c r="J160" s="242"/>
    </row>
    <row r="161" spans="8:10">
      <c r="H161" s="242"/>
      <c r="J161" s="242"/>
    </row>
    <row r="162" spans="8:10">
      <c r="H162" s="242"/>
      <c r="J162" s="242"/>
    </row>
    <row r="163" spans="8:10">
      <c r="H163" s="242"/>
      <c r="J163" s="242"/>
    </row>
    <row r="164" spans="8:10">
      <c r="H164" s="242"/>
      <c r="J164" s="242"/>
    </row>
    <row r="165" spans="8:10">
      <c r="H165" s="242"/>
      <c r="J165" s="242"/>
    </row>
    <row r="166" spans="8:10">
      <c r="H166" s="242"/>
      <c r="J166" s="242"/>
    </row>
    <row r="167" spans="8:10">
      <c r="H167" s="242"/>
      <c r="J167" s="242"/>
    </row>
    <row r="168" spans="8:10">
      <c r="H168" s="242"/>
      <c r="J168" s="242"/>
    </row>
    <row r="169" spans="8:10">
      <c r="H169" s="242"/>
      <c r="J169" s="242"/>
    </row>
    <row r="170" spans="8:10">
      <c r="H170" s="242"/>
      <c r="J170" s="242"/>
    </row>
    <row r="171" spans="8:10">
      <c r="H171" s="242"/>
      <c r="J171" s="242"/>
    </row>
    <row r="172" spans="8:10">
      <c r="H172" s="242"/>
      <c r="J172" s="242"/>
    </row>
    <row r="173" spans="8:10">
      <c r="H173" s="242"/>
      <c r="J173" s="242"/>
    </row>
    <row r="174" spans="8:10">
      <c r="H174" s="242"/>
      <c r="J174" s="242"/>
    </row>
    <row r="175" spans="8:10">
      <c r="H175" s="242"/>
      <c r="J175" s="242"/>
    </row>
    <row r="176" spans="8:10">
      <c r="H176" s="242"/>
      <c r="J176" s="242"/>
    </row>
    <row r="177" spans="8:10">
      <c r="H177" s="242"/>
      <c r="J177" s="242"/>
    </row>
    <row r="178" spans="8:10">
      <c r="H178" s="242"/>
      <c r="J178" s="242"/>
    </row>
    <row r="179" spans="8:10">
      <c r="H179" s="242"/>
      <c r="J179" s="242"/>
    </row>
    <row r="180" spans="8:10">
      <c r="H180" s="242"/>
      <c r="J180" s="242"/>
    </row>
    <row r="181" spans="8:10">
      <c r="H181" s="242"/>
      <c r="J181" s="242"/>
    </row>
    <row r="182" spans="8:10">
      <c r="H182" s="242"/>
      <c r="J182" s="242"/>
    </row>
    <row r="183" spans="8:10">
      <c r="H183" s="242"/>
      <c r="J183" s="242"/>
    </row>
    <row r="184" spans="8:10">
      <c r="H184" s="242"/>
      <c r="J184" s="242"/>
    </row>
    <row r="185" spans="8:10">
      <c r="H185" s="242"/>
      <c r="J185" s="242"/>
    </row>
    <row r="186" spans="8:10">
      <c r="H186" s="242"/>
      <c r="J186" s="242"/>
    </row>
    <row r="187" spans="8:10">
      <c r="H187" s="242"/>
      <c r="J187" s="242"/>
    </row>
    <row r="188" spans="8:10">
      <c r="H188" s="242"/>
      <c r="J188" s="242"/>
    </row>
    <row r="189" spans="8:10">
      <c r="H189" s="242"/>
      <c r="J189" s="242"/>
    </row>
    <row r="190" spans="8:10">
      <c r="H190" s="242"/>
      <c r="J190" s="242"/>
    </row>
    <row r="191" spans="8:10">
      <c r="H191" s="242"/>
      <c r="J191" s="242"/>
    </row>
    <row r="192" spans="8:10">
      <c r="H192" s="242"/>
      <c r="J192" s="242"/>
    </row>
    <row r="193" spans="4:10">
      <c r="H193" s="242"/>
      <c r="J193" s="242"/>
    </row>
    <row r="194" spans="4:10">
      <c r="H194" s="242"/>
      <c r="J194" s="242"/>
    </row>
    <row r="195" spans="4:10">
      <c r="H195" s="242"/>
      <c r="J195" s="242"/>
    </row>
    <row r="196" spans="4:10">
      <c r="H196" s="242"/>
      <c r="J196" s="242"/>
    </row>
    <row r="197" spans="4:10">
      <c r="H197" s="242"/>
      <c r="J197" s="242"/>
    </row>
    <row r="198" spans="4:10">
      <c r="H198" s="242"/>
      <c r="J198" s="242"/>
    </row>
    <row r="199" spans="4:10">
      <c r="H199" s="242"/>
      <c r="J199" s="242"/>
    </row>
    <row r="200" spans="4:10">
      <c r="H200" s="242"/>
      <c r="J200" s="242"/>
    </row>
    <row r="201" spans="4:10">
      <c r="H201" s="242"/>
      <c r="J201" s="242"/>
    </row>
    <row r="202" spans="4:10">
      <c r="H202" s="242"/>
      <c r="J202" s="242"/>
    </row>
    <row r="203" spans="4:10">
      <c r="H203" s="242"/>
      <c r="J203" s="242"/>
    </row>
    <row r="204" spans="4:10">
      <c r="H204" s="233"/>
      <c r="J204" s="233"/>
    </row>
    <row r="205" spans="4:10">
      <c r="H205" s="233"/>
      <c r="J205" s="242"/>
    </row>
    <row r="206" spans="4:10">
      <c r="H206" s="233"/>
      <c r="J206" s="233"/>
    </row>
    <row r="207" spans="4:10">
      <c r="D207" s="243"/>
      <c r="E207" s="242"/>
      <c r="H207" s="233"/>
      <c r="J207" s="242"/>
    </row>
    <row r="208" spans="4:10">
      <c r="D208" s="243"/>
      <c r="E208" s="242"/>
      <c r="H208" s="233"/>
      <c r="J208" s="233"/>
    </row>
    <row r="209" spans="4:10">
      <c r="D209" s="243"/>
      <c r="E209" s="242"/>
      <c r="H209" s="233"/>
      <c r="J209" s="242"/>
    </row>
    <row r="210" spans="4:10">
      <c r="D210" s="243"/>
      <c r="E210" s="242"/>
      <c r="H210" s="233"/>
      <c r="J210" s="233"/>
    </row>
    <row r="211" spans="4:10">
      <c r="D211" s="243"/>
      <c r="E211" s="242"/>
      <c r="H211" s="233"/>
      <c r="J211" s="242"/>
    </row>
    <row r="212" spans="4:10">
      <c r="J212" s="233"/>
    </row>
    <row r="213" spans="4:10">
      <c r="J213" s="233"/>
    </row>
    <row r="214" spans="4:10">
      <c r="D214" s="234"/>
      <c r="E214" s="233"/>
      <c r="J214" s="233"/>
    </row>
    <row r="215" spans="4:10">
      <c r="D215" s="234"/>
      <c r="E215" s="233"/>
      <c r="J215" s="233"/>
    </row>
    <row r="216" spans="4:10">
      <c r="D216" s="234"/>
      <c r="E216" s="233"/>
      <c r="J216" s="233"/>
    </row>
    <row r="217" spans="4:10">
      <c r="D217" s="234"/>
      <c r="E217" s="233"/>
      <c r="J217" s="233"/>
    </row>
    <row r="218" spans="4:10">
      <c r="D218" s="234"/>
      <c r="E218" s="233"/>
      <c r="J218" s="233"/>
    </row>
    <row r="219" spans="4:10">
      <c r="D219" s="234"/>
      <c r="E219" s="233"/>
      <c r="J219" s="233"/>
    </row>
  </sheetData>
  <mergeCells count="40">
    <mergeCell ref="H61:K61"/>
    <mergeCell ref="H63:K63"/>
    <mergeCell ref="H65:K65"/>
    <mergeCell ref="H67:K67"/>
    <mergeCell ref="A10:K10"/>
    <mergeCell ref="A61:B61"/>
    <mergeCell ref="C61:D61"/>
    <mergeCell ref="E61:G61"/>
    <mergeCell ref="B12:E12"/>
    <mergeCell ref="A60:B60"/>
    <mergeCell ref="C60:D60"/>
    <mergeCell ref="E60:G60"/>
    <mergeCell ref="H60:K60"/>
    <mergeCell ref="A62:B62"/>
    <mergeCell ref="D62:E62"/>
    <mergeCell ref="F62:G62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  <mergeCell ref="H62:K62"/>
    <mergeCell ref="A63:B67"/>
    <mergeCell ref="C63:C67"/>
    <mergeCell ref="D63:E67"/>
    <mergeCell ref="F63:G67"/>
    <mergeCell ref="H64:K64"/>
    <mergeCell ref="H66:K66"/>
    <mergeCell ref="A74:K74"/>
    <mergeCell ref="A68:K68"/>
    <mergeCell ref="A69:K69"/>
    <mergeCell ref="A70:A71"/>
    <mergeCell ref="B70:K71"/>
    <mergeCell ref="A72:K72"/>
    <mergeCell ref="A73:K73"/>
  </mergeCells>
  <dataValidations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Foglio23"/>
  <dimension ref="A1:X218"/>
  <sheetViews>
    <sheetView showGridLines="0" zoomScaleSheetLayoutView="100" workbookViewId="0">
      <pane ySplit="12" topLeftCell="A13" activePane="bottomLeft" state="frozen"/>
      <selection activeCell="H53" sqref="H53:K53"/>
      <selection pane="bottomLeft" activeCell="H53" sqref="H53:K53"/>
    </sheetView>
  </sheetViews>
  <sheetFormatPr defaultColWidth="10.7109375" defaultRowHeight="12.75"/>
  <cols>
    <col min="1" max="1" width="10.5703125" style="211" customWidth="1"/>
    <col min="2" max="2" width="20.140625" style="211" customWidth="1"/>
    <col min="3" max="3" width="12.7109375" style="211" customWidth="1"/>
    <col min="4" max="4" width="9.85546875" style="213" customWidth="1"/>
    <col min="5" max="5" width="18.7109375" style="211" customWidth="1"/>
    <col min="6" max="6" width="4.140625" style="214" customWidth="1"/>
    <col min="7" max="8" width="11.42578125" style="211" customWidth="1"/>
    <col min="9" max="9" width="11.42578125" style="214" customWidth="1"/>
    <col min="10" max="10" width="11.42578125" style="211" customWidth="1"/>
    <col min="11" max="11" width="5.5703125" style="211" customWidth="1"/>
    <col min="12" max="16384" width="10.7109375" style="211"/>
  </cols>
  <sheetData>
    <row r="1" spans="1:24">
      <c r="A1" s="631"/>
      <c r="B1" s="631"/>
      <c r="C1" s="632"/>
      <c r="D1" s="633"/>
      <c r="E1" s="632"/>
      <c r="F1" s="634"/>
      <c r="G1" s="630"/>
      <c r="H1" s="625"/>
      <c r="I1" s="245"/>
      <c r="J1" s="245"/>
      <c r="K1" s="210"/>
    </row>
    <row r="2" spans="1:24">
      <c r="A2" s="632"/>
      <c r="B2" s="632"/>
      <c r="C2" s="632"/>
      <c r="D2" s="633"/>
      <c r="E2" s="632"/>
      <c r="F2" s="634"/>
      <c r="G2" s="212"/>
      <c r="H2" s="627" t="s">
        <v>274</v>
      </c>
      <c r="I2" s="217"/>
      <c r="J2" s="217"/>
      <c r="K2" s="215"/>
      <c r="P2" s="217"/>
    </row>
    <row r="3" spans="1:24">
      <c r="A3" s="632"/>
      <c r="B3" s="632"/>
      <c r="C3" s="632"/>
      <c r="D3" s="633"/>
      <c r="E3" s="632"/>
      <c r="F3" s="634"/>
      <c r="G3" s="212"/>
      <c r="H3" s="628"/>
      <c r="I3" s="211"/>
      <c r="J3" s="217"/>
      <c r="K3" s="215"/>
      <c r="P3" s="217"/>
    </row>
    <row r="4" spans="1:24">
      <c r="A4" s="632"/>
      <c r="B4" s="632"/>
      <c r="C4" s="632"/>
      <c r="D4" s="633"/>
      <c r="E4" s="632"/>
      <c r="F4" s="634"/>
      <c r="G4" s="212"/>
      <c r="H4" s="628" t="s">
        <v>275</v>
      </c>
      <c r="I4" s="211"/>
      <c r="J4" s="217"/>
      <c r="K4" s="215"/>
      <c r="P4" s="217"/>
    </row>
    <row r="5" spans="1:24">
      <c r="A5" s="632"/>
      <c r="B5" s="632"/>
      <c r="C5" s="632"/>
      <c r="D5" s="633"/>
      <c r="E5" s="632"/>
      <c r="F5" s="634"/>
      <c r="G5" s="212"/>
      <c r="H5" s="628" t="s">
        <v>276</v>
      </c>
      <c r="I5" s="211"/>
      <c r="J5" s="217"/>
      <c r="K5" s="215"/>
      <c r="N5" s="217"/>
    </row>
    <row r="6" spans="1:24">
      <c r="A6" s="632"/>
      <c r="B6" s="632"/>
      <c r="C6" s="632"/>
      <c r="D6" s="633"/>
      <c r="E6" s="632"/>
      <c r="F6" s="634"/>
      <c r="G6" s="212"/>
      <c r="H6" s="628" t="s">
        <v>277</v>
      </c>
      <c r="J6" s="217"/>
      <c r="K6" s="215"/>
    </row>
    <row r="7" spans="1:24">
      <c r="A7" s="220"/>
      <c r="B7" s="220"/>
      <c r="C7" s="220"/>
      <c r="D7" s="221"/>
      <c r="E7" s="220"/>
      <c r="F7" s="635"/>
      <c r="G7" s="219"/>
      <c r="H7" s="629"/>
      <c r="I7" s="222"/>
      <c r="J7" s="220"/>
      <c r="K7" s="223"/>
    </row>
    <row r="8" spans="1:24">
      <c r="A8" s="747" t="s">
        <v>537</v>
      </c>
      <c r="B8" s="733"/>
      <c r="C8" s="747" t="s">
        <v>538</v>
      </c>
      <c r="D8" s="733"/>
      <c r="E8" s="747" t="s">
        <v>539</v>
      </c>
      <c r="F8" s="733"/>
      <c r="G8" s="747" t="s">
        <v>540</v>
      </c>
      <c r="H8" s="731"/>
      <c r="I8" s="731"/>
      <c r="J8" s="737" t="s">
        <v>541</v>
      </c>
      <c r="K8" s="739"/>
    </row>
    <row r="9" spans="1:24">
      <c r="A9" s="757" t="s">
        <v>542</v>
      </c>
      <c r="B9" s="758"/>
      <c r="C9" s="759">
        <v>45347</v>
      </c>
      <c r="D9" s="760"/>
      <c r="E9" s="761"/>
      <c r="F9" s="761"/>
      <c r="G9" s="762" t="s">
        <v>256</v>
      </c>
      <c r="H9" s="763"/>
      <c r="I9" s="764"/>
      <c r="J9" s="757" t="s">
        <v>258</v>
      </c>
      <c r="K9" s="758"/>
    </row>
    <row r="10" spans="1:24">
      <c r="A10" s="737" t="s">
        <v>543</v>
      </c>
      <c r="B10" s="738"/>
      <c r="C10" s="738"/>
      <c r="D10" s="738"/>
      <c r="E10" s="738"/>
      <c r="F10" s="738"/>
      <c r="G10" s="738"/>
      <c r="H10" s="738"/>
      <c r="I10" s="738"/>
      <c r="J10" s="738"/>
      <c r="K10" s="739"/>
    </row>
    <row r="11" spans="1:24">
      <c r="A11" s="219" t="s">
        <v>273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3"/>
    </row>
    <row r="12" spans="1:24" ht="31.5" customHeight="1">
      <c r="A12" s="231" t="s">
        <v>544</v>
      </c>
      <c r="B12" s="748" t="s">
        <v>545</v>
      </c>
      <c r="C12" s="749"/>
      <c r="D12" s="749"/>
      <c r="E12" s="750"/>
      <c r="F12" s="232" t="s">
        <v>546</v>
      </c>
      <c r="G12" s="231" t="s">
        <v>547</v>
      </c>
      <c r="H12" s="231" t="s">
        <v>548</v>
      </c>
      <c r="I12" s="231" t="s">
        <v>549</v>
      </c>
      <c r="J12" s="231" t="s">
        <v>550</v>
      </c>
      <c r="K12" s="231" t="s">
        <v>551</v>
      </c>
    </row>
    <row r="13" spans="1:24" ht="12.95" customHeight="1">
      <c r="A13" s="241"/>
      <c r="B13" s="542" t="s">
        <v>552</v>
      </c>
      <c r="C13" s="229"/>
      <c r="D13" s="229"/>
      <c r="E13" s="230"/>
      <c r="F13" s="238"/>
      <c r="G13" s="239"/>
      <c r="H13" s="572"/>
      <c r="I13" s="239"/>
      <c r="J13" s="572"/>
      <c r="K13" s="239"/>
      <c r="N13" s="217"/>
    </row>
    <row r="14" spans="1:24" ht="15">
      <c r="A14" s="556" t="str">
        <f t="array" ref="A14">IFERROR(INDEX(productsSku, SMALL(IF(productsQty&lt;&gt;0, ROW(productsQty)-ROW('BHPC MANAGER'!$CD$10)+1), ROW(L1))), "")</f>
        <v>P06003</v>
      </c>
      <c r="B14" s="237" t="str">
        <f t="array" ref="B14">IFERROR(INDEX(productsDescription, SMALL(IF(productsQty&lt;&gt;0, ROW(productsQty)-ROW('BHPC MANAGER'!$CD$10)+1), ROW(L1))), "")</f>
        <v>BHPC PRESTIGE TITAN 100ML EDP MEN</v>
      </c>
      <c r="C14"/>
      <c r="D14"/>
      <c r="E14" s="209"/>
      <c r="F14" s="240" t="str">
        <f t="shared" ref="F14:F39" si="0">IF(A14="","","PC")</f>
        <v>PC</v>
      </c>
      <c r="G14" s="240">
        <f t="array" ref="G14">IFERROR(INDEX(productsQty, SMALL(IF(productsQty&lt;&gt;0, ROW(productsQty)-ROW('BHPC MANAGER'!$CD$10)+1), ROW(L1))), "")</f>
        <v>720</v>
      </c>
      <c r="H14" s="573">
        <f t="array" ref="H14">IFERROR(INDEX(productsSalePrice, SMALL(IF(productsQty&lt;&gt;0, ROW(productsQty)-ROW('BHPC MANAGER'!$CD$10)+1), ROW(L1))), "")</f>
        <v>11.68</v>
      </c>
      <c r="I14" s="240">
        <f t="array" ref="I14">IFERROR(INDEX(productsCartons, SMALL(IF(productsQty&lt;&gt;0, ROW(productsQty)-ROW('BHPC MANAGER'!$CD$10)+1), ROW(L1))), "")</f>
        <v>30</v>
      </c>
      <c r="J14" s="573">
        <f t="shared" ref="J14:J39" si="1">IF(A14="","",G14*H14)</f>
        <v>8409.6</v>
      </c>
      <c r="K14" s="240" t="str">
        <f t="shared" ref="K14:K39" si="2">IF(A14="","",$C$69)</f>
        <v>061</v>
      </c>
      <c r="N14" s="214"/>
      <c r="S14" s="81"/>
      <c r="T14" s="81"/>
      <c r="U14" s="235"/>
      <c r="V14" s="81"/>
      <c r="W14" s="235"/>
      <c r="X14" s="81"/>
    </row>
    <row r="15" spans="1:24" ht="15">
      <c r="A15" s="556" t="str">
        <f t="array" ref="A15">IFERROR(INDEX(productsSku, SMALL(IF(productsQty&lt;&gt;0, ROW(productsQty)-ROW('BHPC MANAGER'!$CD$10)+1), ROW(L2))), "")</f>
        <v/>
      </c>
      <c r="B15" s="237" t="str">
        <f t="array" ref="B15">IFERROR(INDEX(productsDescription, SMALL(IF(productsQty&lt;&gt;0, ROW(productsQty)-ROW('BHPC MANAGER'!$CD$10)+1), ROW(L2))), "")</f>
        <v/>
      </c>
      <c r="C15"/>
      <c r="D15"/>
      <c r="E15" s="209"/>
      <c r="F15" s="240" t="str">
        <f t="shared" si="0"/>
        <v/>
      </c>
      <c r="G15" s="240" t="str">
        <f t="array" ref="G15">IFERROR(INDEX(productsQty, SMALL(IF(productsQty&lt;&gt;0, ROW(productsQty)-ROW('BHPC MANAGER'!$CD$10)+1), ROW(L2))), "")</f>
        <v/>
      </c>
      <c r="H15" s="573" t="str">
        <f t="array" ref="H15">IFERROR(INDEX(productsSalePrice, SMALL(IF(productsQty&lt;&gt;0, ROW(productsQty)-ROW('BHPC MANAGER'!$CD$10)+1), ROW(L2))), "")</f>
        <v/>
      </c>
      <c r="I15" s="240" t="str">
        <f t="array" ref="I15">IFERROR(INDEX(productsCartons, SMALL(IF(productsQty&lt;&gt;0, ROW(productsQty)-ROW('BHPC MANAGER'!$CD$10)+1), ROW(L2))), "")</f>
        <v/>
      </c>
      <c r="J15" s="573" t="str">
        <f t="shared" si="1"/>
        <v/>
      </c>
      <c r="K15" s="240" t="str">
        <f t="shared" si="2"/>
        <v/>
      </c>
      <c r="N15" s="217"/>
    </row>
    <row r="16" spans="1:24" ht="15">
      <c r="A16" s="556" t="str">
        <f t="array" ref="A16">IFERROR(INDEX(productsSku, SMALL(IF(productsQty&lt;&gt;0, ROW(productsQty)-ROW('BHPC MANAGER'!$CD$10)+1), ROW(L3))), "")</f>
        <v/>
      </c>
      <c r="B16" s="237" t="str">
        <f t="array" ref="B16">IFERROR(INDEX(productsDescription, SMALL(IF(productsQty&lt;&gt;0, ROW(productsQty)-ROW('BHPC MANAGER'!$CD$10)+1), ROW(L3))), "")</f>
        <v/>
      </c>
      <c r="C16"/>
      <c r="D16"/>
      <c r="E16" s="209"/>
      <c r="F16" s="240" t="str">
        <f t="shared" si="0"/>
        <v/>
      </c>
      <c r="G16" s="240" t="str">
        <f t="array" ref="G16">IFERROR(INDEX(productsQty, SMALL(IF(productsQty&lt;&gt;0, ROW(productsQty)-ROW('BHPC MANAGER'!$CD$10)+1), ROW(L3))), "")</f>
        <v/>
      </c>
      <c r="H16" s="573" t="str">
        <f t="array" ref="H16">IFERROR(INDEX(productsSalePrice, SMALL(IF(productsQty&lt;&gt;0, ROW(productsQty)-ROW('BHPC MANAGER'!$CD$10)+1), ROW(L3))), "")</f>
        <v/>
      </c>
      <c r="I16" s="240" t="str">
        <f t="array" ref="I16">IFERROR(INDEX(productsCartons, SMALL(IF(productsQty&lt;&gt;0, ROW(productsQty)-ROW('BHPC MANAGER'!$CD$10)+1), ROW(L3))), "")</f>
        <v/>
      </c>
      <c r="J16" s="573" t="str">
        <f t="shared" si="1"/>
        <v/>
      </c>
      <c r="K16" s="240" t="str">
        <f t="shared" si="2"/>
        <v/>
      </c>
      <c r="N16" s="214"/>
      <c r="S16" s="81"/>
      <c r="T16" s="81"/>
      <c r="U16" s="235"/>
      <c r="V16" s="81"/>
      <c r="W16" s="235"/>
      <c r="X16" s="81"/>
    </row>
    <row r="17" spans="1:24" ht="15">
      <c r="A17" s="556" t="str">
        <f t="array" ref="A17">IFERROR(INDEX(productsSku, SMALL(IF(productsQty&lt;&gt;0, ROW(productsQty)-ROW('BHPC MANAGER'!$CD$10)+1), ROW(L4))), "")</f>
        <v/>
      </c>
      <c r="B17" s="237" t="str">
        <f t="array" ref="B17">IFERROR(INDEX(productsDescription, SMALL(IF(productsQty&lt;&gt;0, ROW(productsQty)-ROW('BHPC MANAGER'!$CD$10)+1), ROW(L4))), "")</f>
        <v/>
      </c>
      <c r="C17"/>
      <c r="D17"/>
      <c r="E17" s="209"/>
      <c r="F17" s="240" t="str">
        <f t="shared" si="0"/>
        <v/>
      </c>
      <c r="G17" s="240" t="str">
        <f t="array" ref="G17">IFERROR(INDEX(productsQty, SMALL(IF(productsQty&lt;&gt;0, ROW(productsQty)-ROW('BHPC MANAGER'!$CD$10)+1), ROW(L4))), "")</f>
        <v/>
      </c>
      <c r="H17" s="573" t="str">
        <f t="array" ref="H17">IFERROR(INDEX(productsSalePrice, SMALL(IF(productsQty&lt;&gt;0, ROW(productsQty)-ROW('BHPC MANAGER'!$CD$10)+1), ROW(L4))), "")</f>
        <v/>
      </c>
      <c r="I17" s="240" t="str">
        <f t="array" ref="I17">IFERROR(INDEX(productsCartons, SMALL(IF(productsQty&lt;&gt;0, ROW(productsQty)-ROW('BHPC MANAGER'!$CD$10)+1), ROW(L4))), "")</f>
        <v/>
      </c>
      <c r="J17" s="573" t="str">
        <f t="shared" si="1"/>
        <v/>
      </c>
      <c r="K17" s="240" t="str">
        <f t="shared" si="2"/>
        <v/>
      </c>
      <c r="N17" s="217"/>
    </row>
    <row r="18" spans="1:24" ht="15">
      <c r="A18" s="556" t="str">
        <f t="array" ref="A18">IFERROR(INDEX(productsSku, SMALL(IF(productsQty&lt;&gt;0, ROW(productsQty)-ROW('BHPC MANAGER'!$CD$10)+1), ROW(L5))), "")</f>
        <v/>
      </c>
      <c r="B18" s="237" t="str">
        <f t="array" ref="B18">IFERROR(INDEX(productsDescription, SMALL(IF(productsQty&lt;&gt;0, ROW(productsQty)-ROW('BHPC MANAGER'!$CD$10)+1), ROW(L5))), "")</f>
        <v/>
      </c>
      <c r="C18"/>
      <c r="D18"/>
      <c r="E18" s="209"/>
      <c r="F18" s="240" t="str">
        <f t="shared" si="0"/>
        <v/>
      </c>
      <c r="G18" s="240" t="str">
        <f t="array" ref="G18">IFERROR(INDEX(productsQty, SMALL(IF(productsQty&lt;&gt;0, ROW(productsQty)-ROW('BHPC MANAGER'!$CD$10)+1), ROW(L5))), "")</f>
        <v/>
      </c>
      <c r="H18" s="573" t="str">
        <f t="array" ref="H18">IFERROR(INDEX(productsSalePrice, SMALL(IF(productsQty&lt;&gt;0, ROW(productsQty)-ROW('BHPC MANAGER'!$CD$10)+1), ROW(L5))), "")</f>
        <v/>
      </c>
      <c r="I18" s="240" t="str">
        <f t="array" ref="I18">IFERROR(INDEX(productsCartons, SMALL(IF(productsQty&lt;&gt;0, ROW(productsQty)-ROW('BHPC MANAGER'!$CD$10)+1), ROW(L5))), "")</f>
        <v/>
      </c>
      <c r="J18" s="573" t="str">
        <f t="shared" si="1"/>
        <v/>
      </c>
      <c r="K18" s="240" t="str">
        <f t="shared" si="2"/>
        <v/>
      </c>
      <c r="N18" s="214"/>
      <c r="S18" s="81"/>
      <c r="T18" s="81"/>
      <c r="U18" s="235"/>
      <c r="V18" s="81"/>
      <c r="W18" s="235"/>
      <c r="X18" s="81"/>
    </row>
    <row r="19" spans="1:24" ht="15">
      <c r="A19" s="556" t="str">
        <f t="array" ref="A19">IFERROR(INDEX(productsSku, SMALL(IF(productsQty&lt;&gt;0, ROW(productsQty)-ROW('BHPC MANAGER'!$CD$10)+1), ROW(L6))), "")</f>
        <v/>
      </c>
      <c r="B19" s="237" t="str">
        <f t="array" ref="B19">IFERROR(INDEX(productsDescription, SMALL(IF(productsQty&lt;&gt;0, ROW(productsQty)-ROW('BHPC MANAGER'!$CD$10)+1), ROW(L6))), "")</f>
        <v/>
      </c>
      <c r="C19"/>
      <c r="D19"/>
      <c r="E19" s="209"/>
      <c r="F19" s="240" t="str">
        <f t="shared" si="0"/>
        <v/>
      </c>
      <c r="G19" s="240" t="str">
        <f t="array" ref="G19">IFERROR(INDEX(productsQty, SMALL(IF(productsQty&lt;&gt;0, ROW(productsQty)-ROW('BHPC MANAGER'!$CD$10)+1), ROW(L6))), "")</f>
        <v/>
      </c>
      <c r="H19" s="573" t="str">
        <f t="array" ref="H19">IFERROR(INDEX(productsSalePrice, SMALL(IF(productsQty&lt;&gt;0, ROW(productsQty)-ROW('BHPC MANAGER'!$CD$10)+1), ROW(L6))), "")</f>
        <v/>
      </c>
      <c r="I19" s="240" t="str">
        <f t="array" ref="I19">IFERROR(INDEX(productsCartons, SMALL(IF(productsQty&lt;&gt;0, ROW(productsQty)-ROW('BHPC MANAGER'!$CD$10)+1), ROW(L6))), "")</f>
        <v/>
      </c>
      <c r="J19" s="573" t="str">
        <f t="shared" si="1"/>
        <v/>
      </c>
      <c r="K19" s="240" t="str">
        <f t="shared" si="2"/>
        <v/>
      </c>
    </row>
    <row r="20" spans="1:24" ht="15">
      <c r="A20" s="556" t="str">
        <f t="array" ref="A20">IFERROR(INDEX(productsSku, SMALL(IF(productsQty&lt;&gt;0, ROW(productsQty)-ROW('BHPC MANAGER'!$CD$10)+1), ROW(L7))), "")</f>
        <v/>
      </c>
      <c r="B20" s="237" t="str">
        <f t="array" ref="B20">IFERROR(INDEX(productsDescription, SMALL(IF(productsQty&lt;&gt;0, ROW(productsQty)-ROW('BHPC MANAGER'!$CD$10)+1), ROW(L7))), "")</f>
        <v/>
      </c>
      <c r="C20"/>
      <c r="D20"/>
      <c r="E20" s="209"/>
      <c r="F20" s="240" t="str">
        <f t="shared" si="0"/>
        <v/>
      </c>
      <c r="G20" s="240" t="str">
        <f t="array" ref="G20">IFERROR(INDEX(productsQty, SMALL(IF(productsQty&lt;&gt;0, ROW(productsQty)-ROW('BHPC MANAGER'!$CD$10)+1), ROW(L7))), "")</f>
        <v/>
      </c>
      <c r="H20" s="573" t="str">
        <f t="array" ref="H20">IFERROR(INDEX(productsSalePrice, SMALL(IF(productsQty&lt;&gt;0, ROW(productsQty)-ROW('BHPC MANAGER'!$CD$10)+1), ROW(L7))), "")</f>
        <v/>
      </c>
      <c r="I20" s="240" t="str">
        <f t="array" ref="I20">IFERROR(INDEX(productsCartons, SMALL(IF(productsQty&lt;&gt;0, ROW(productsQty)-ROW('BHPC MANAGER'!$CD$10)+1), ROW(L7))), "")</f>
        <v/>
      </c>
      <c r="J20" s="573" t="str">
        <f t="shared" si="1"/>
        <v/>
      </c>
      <c r="K20" s="240" t="str">
        <f t="shared" si="2"/>
        <v/>
      </c>
    </row>
    <row r="21" spans="1:24" ht="15">
      <c r="A21" s="556" t="str">
        <f t="array" ref="A21">IFERROR(INDEX(productsSku, SMALL(IF(productsQty&lt;&gt;0, ROW(productsQty)-ROW('BHPC MANAGER'!$CD$10)+1), ROW(L8))), "")</f>
        <v/>
      </c>
      <c r="B21" s="237" t="str">
        <f t="array" ref="B21">IFERROR(INDEX(productsDescription, SMALL(IF(productsQty&lt;&gt;0, ROW(productsQty)-ROW('BHPC MANAGER'!$CD$10)+1), ROW(L8))), "")</f>
        <v/>
      </c>
      <c r="C21"/>
      <c r="D21"/>
      <c r="E21" s="209"/>
      <c r="F21" s="240" t="str">
        <f t="shared" si="0"/>
        <v/>
      </c>
      <c r="G21" s="240" t="str">
        <f t="array" ref="G21">IFERROR(INDEX(productsQty, SMALL(IF(productsQty&lt;&gt;0, ROW(productsQty)-ROW('BHPC MANAGER'!$CD$10)+1), ROW(L8))), "")</f>
        <v/>
      </c>
      <c r="H21" s="573" t="str">
        <f t="array" ref="H21">IFERROR(INDEX(productsSalePrice, SMALL(IF(productsQty&lt;&gt;0, ROW(productsQty)-ROW('BHPC MANAGER'!$CD$10)+1), ROW(L8))), "")</f>
        <v/>
      </c>
      <c r="I21" s="240" t="str">
        <f t="array" ref="I21">IFERROR(INDEX(productsCartons, SMALL(IF(productsQty&lt;&gt;0, ROW(productsQty)-ROW('BHPC MANAGER'!$CD$10)+1), ROW(L8))), "")</f>
        <v/>
      </c>
      <c r="J21" s="573" t="str">
        <f t="shared" si="1"/>
        <v/>
      </c>
      <c r="K21" s="240" t="str">
        <f t="shared" si="2"/>
        <v/>
      </c>
    </row>
    <row r="22" spans="1:24" ht="15">
      <c r="A22" s="556" t="str">
        <f t="array" ref="A22">IFERROR(INDEX(productsSku, SMALL(IF(productsQty&lt;&gt;0, ROW(productsQty)-ROW('BHPC MANAGER'!$CD$10)+1), ROW(L9))), "")</f>
        <v/>
      </c>
      <c r="B22" s="237" t="str">
        <f t="array" ref="B22">IFERROR(INDEX(productsDescription, SMALL(IF(productsQty&lt;&gt;0, ROW(productsQty)-ROW('BHPC MANAGER'!$CD$10)+1), ROW(L9))), "")</f>
        <v/>
      </c>
      <c r="C22"/>
      <c r="D22"/>
      <c r="E22" s="209"/>
      <c r="F22" s="240" t="str">
        <f t="shared" si="0"/>
        <v/>
      </c>
      <c r="G22" s="240" t="str">
        <f t="array" ref="G22">IFERROR(INDEX(productsQty, SMALL(IF(productsQty&lt;&gt;0, ROW(productsQty)-ROW('BHPC MANAGER'!$CD$10)+1), ROW(L9))), "")</f>
        <v/>
      </c>
      <c r="H22" s="573" t="str">
        <f t="array" ref="H22">IFERROR(INDEX(productsSalePrice, SMALL(IF(productsQty&lt;&gt;0, ROW(productsQty)-ROW('BHPC MANAGER'!$CD$10)+1), ROW(L9))), "")</f>
        <v/>
      </c>
      <c r="I22" s="240" t="str">
        <f t="array" ref="I22">IFERROR(INDEX(productsCartons, SMALL(IF(productsQty&lt;&gt;0, ROW(productsQty)-ROW('BHPC MANAGER'!$CD$10)+1), ROW(L9))), "")</f>
        <v/>
      </c>
      <c r="J22" s="573" t="str">
        <f t="shared" si="1"/>
        <v/>
      </c>
      <c r="K22" s="240" t="str">
        <f t="shared" si="2"/>
        <v/>
      </c>
    </row>
    <row r="23" spans="1:24" ht="15">
      <c r="A23" s="556" t="str">
        <f t="array" ref="A23">IFERROR(INDEX(productsSku, SMALL(IF(productsQty&lt;&gt;0, ROW(productsQty)-ROW('BHPC MANAGER'!$CD$10)+1), ROW(L10))), "")</f>
        <v/>
      </c>
      <c r="B23" s="237" t="str">
        <f t="array" ref="B23">IFERROR(INDEX(productsDescription, SMALL(IF(productsQty&lt;&gt;0, ROW(productsQty)-ROW('BHPC MANAGER'!$CD$10)+1), ROW(L10))), "")</f>
        <v/>
      </c>
      <c r="C23"/>
      <c r="D23"/>
      <c r="E23" s="209"/>
      <c r="F23" s="240" t="str">
        <f t="shared" si="0"/>
        <v/>
      </c>
      <c r="G23" s="240" t="str">
        <f t="array" ref="G23">IFERROR(INDEX(productsQty, SMALL(IF(productsQty&lt;&gt;0, ROW(productsQty)-ROW('BHPC MANAGER'!$CD$10)+1), ROW(L10))), "")</f>
        <v/>
      </c>
      <c r="H23" s="573" t="str">
        <f t="array" ref="H23">IFERROR(INDEX(productsSalePrice, SMALL(IF(productsQty&lt;&gt;0, ROW(productsQty)-ROW('BHPC MANAGER'!$CD$10)+1), ROW(L10))), "")</f>
        <v/>
      </c>
      <c r="I23" s="240" t="str">
        <f t="array" ref="I23">IFERROR(INDEX(productsCartons, SMALL(IF(productsQty&lt;&gt;0, ROW(productsQty)-ROW('BHPC MANAGER'!$CD$10)+1), ROW(L10))), "")</f>
        <v/>
      </c>
      <c r="J23" s="573" t="str">
        <f t="shared" si="1"/>
        <v/>
      </c>
      <c r="K23" s="240" t="str">
        <f t="shared" si="2"/>
        <v/>
      </c>
    </row>
    <row r="24" spans="1:24" ht="15">
      <c r="A24" s="556" t="str">
        <f t="array" ref="A24">IFERROR(INDEX(productsSku, SMALL(IF(productsQty&lt;&gt;0, ROW(productsQty)-ROW('BHPC MANAGER'!$CD$10)+1), ROW(L11))), "")</f>
        <v/>
      </c>
      <c r="B24" s="237" t="str">
        <f t="array" ref="B24">IFERROR(INDEX(productsDescription, SMALL(IF(productsQty&lt;&gt;0, ROW(productsQty)-ROW('BHPC MANAGER'!$CD$10)+1), ROW(L11))), "")</f>
        <v/>
      </c>
      <c r="C24"/>
      <c r="D24"/>
      <c r="E24" s="209"/>
      <c r="F24" s="240" t="str">
        <f t="shared" si="0"/>
        <v/>
      </c>
      <c r="G24" s="240" t="str">
        <f t="array" ref="G24">IFERROR(INDEX(productsQty, SMALL(IF(productsQty&lt;&gt;0, ROW(productsQty)-ROW('BHPC MANAGER'!$CD$10)+1), ROW(L11))), "")</f>
        <v/>
      </c>
      <c r="H24" s="573" t="str">
        <f t="array" ref="H24">IFERROR(INDEX(productsSalePrice, SMALL(IF(productsQty&lt;&gt;0, ROW(productsQty)-ROW('BHPC MANAGER'!$CD$10)+1), ROW(L11))), "")</f>
        <v/>
      </c>
      <c r="I24" s="240" t="str">
        <f t="array" ref="I24">IFERROR(INDEX(productsCartons, SMALL(IF(productsQty&lt;&gt;0, ROW(productsQty)-ROW('BHPC MANAGER'!$CD$10)+1), ROW(L11))), "")</f>
        <v/>
      </c>
      <c r="J24" s="573" t="str">
        <f t="shared" si="1"/>
        <v/>
      </c>
      <c r="K24" s="240" t="str">
        <f t="shared" si="2"/>
        <v/>
      </c>
    </row>
    <row r="25" spans="1:24" ht="15">
      <c r="A25" s="556" t="str">
        <f t="array" ref="A25">IFERROR(INDEX(productsSku, SMALL(IF(productsQty&lt;&gt;0, ROW(productsQty)-ROW('BHPC MANAGER'!$CD$10)+1), ROW(L12))), "")</f>
        <v/>
      </c>
      <c r="B25" s="237" t="str">
        <f t="array" ref="B25">IFERROR(INDEX(productsDescription, SMALL(IF(productsQty&lt;&gt;0, ROW(productsQty)-ROW('BHPC MANAGER'!$CD$10)+1), ROW(L12))), "")</f>
        <v/>
      </c>
      <c r="C25"/>
      <c r="D25"/>
      <c r="E25" s="209"/>
      <c r="F25" s="240" t="str">
        <f t="shared" si="0"/>
        <v/>
      </c>
      <c r="G25" s="240" t="str">
        <f t="array" ref="G25">IFERROR(INDEX(productsQty, SMALL(IF(productsQty&lt;&gt;0, ROW(productsQty)-ROW('BHPC MANAGER'!$CD$10)+1), ROW(L12))), "")</f>
        <v/>
      </c>
      <c r="H25" s="573" t="str">
        <f t="array" ref="H25">IFERROR(INDEX(productsSalePrice, SMALL(IF(productsQty&lt;&gt;0, ROW(productsQty)-ROW('BHPC MANAGER'!$CD$10)+1), ROW(L12))), "")</f>
        <v/>
      </c>
      <c r="I25" s="240" t="str">
        <f t="array" ref="I25">IFERROR(INDEX(productsCartons, SMALL(IF(productsQty&lt;&gt;0, ROW(productsQty)-ROW('BHPC MANAGER'!$CD$10)+1), ROW(L12))), "")</f>
        <v/>
      </c>
      <c r="J25" s="573" t="str">
        <f t="shared" si="1"/>
        <v/>
      </c>
      <c r="K25" s="240" t="str">
        <f t="shared" si="2"/>
        <v/>
      </c>
    </row>
    <row r="26" spans="1:24" ht="15">
      <c r="A26" s="556" t="str">
        <f t="array" ref="A26">IFERROR(INDEX(productsSku, SMALL(IF(productsQty&lt;&gt;0, ROW(productsQty)-ROW('BHPC MANAGER'!$CD$10)+1), ROW(L13))), "")</f>
        <v/>
      </c>
      <c r="B26" s="237" t="str">
        <f t="array" ref="B26">IFERROR(INDEX(productsDescription, SMALL(IF(productsQty&lt;&gt;0, ROW(productsQty)-ROW('BHPC MANAGER'!$CD$10)+1), ROW(L13))), "")</f>
        <v/>
      </c>
      <c r="C26"/>
      <c r="D26"/>
      <c r="E26" s="209"/>
      <c r="F26" s="240" t="str">
        <f t="shared" si="0"/>
        <v/>
      </c>
      <c r="G26" s="240" t="str">
        <f t="array" ref="G26">IFERROR(INDEX(productsQty, SMALL(IF(productsQty&lt;&gt;0, ROW(productsQty)-ROW('BHPC MANAGER'!$CD$10)+1), ROW(L13))), "")</f>
        <v/>
      </c>
      <c r="H26" s="573" t="str">
        <f t="array" ref="H26">IFERROR(INDEX(productsSalePrice, SMALL(IF(productsQty&lt;&gt;0, ROW(productsQty)-ROW('BHPC MANAGER'!$CD$10)+1), ROW(L13))), "")</f>
        <v/>
      </c>
      <c r="I26" s="240" t="str">
        <f t="array" ref="I26">IFERROR(INDEX(productsCartons, SMALL(IF(productsQty&lt;&gt;0, ROW(productsQty)-ROW('BHPC MANAGER'!$CD$10)+1), ROW(L13))), "")</f>
        <v/>
      </c>
      <c r="J26" s="573" t="str">
        <f t="shared" si="1"/>
        <v/>
      </c>
      <c r="K26" s="240" t="str">
        <f t="shared" si="2"/>
        <v/>
      </c>
    </row>
    <row r="27" spans="1:24" ht="15">
      <c r="A27" s="556" t="str">
        <f t="array" ref="A27">IFERROR(INDEX(productsSku, SMALL(IF(productsQty&lt;&gt;0, ROW(productsQty)-ROW('BHPC MANAGER'!$CD$10)+1), ROW(L14))), "")</f>
        <v/>
      </c>
      <c r="B27" s="237" t="str">
        <f t="array" ref="B27">IFERROR(INDEX(productsDescription, SMALL(IF(productsQty&lt;&gt;0, ROW(productsQty)-ROW('BHPC MANAGER'!$CD$10)+1), ROW(L14))), "")</f>
        <v/>
      </c>
      <c r="C27"/>
      <c r="D27"/>
      <c r="E27" s="209"/>
      <c r="F27" s="240" t="str">
        <f t="shared" si="0"/>
        <v/>
      </c>
      <c r="G27" s="240" t="str">
        <f t="array" ref="G27">IFERROR(INDEX(productsQty, SMALL(IF(productsQty&lt;&gt;0, ROW(productsQty)-ROW('BHPC MANAGER'!$CD$10)+1), ROW(L14))), "")</f>
        <v/>
      </c>
      <c r="H27" s="573" t="str">
        <f t="array" ref="H27">IFERROR(INDEX(productsSalePrice, SMALL(IF(productsQty&lt;&gt;0, ROW(productsQty)-ROW('BHPC MANAGER'!$CD$10)+1), ROW(L14))), "")</f>
        <v/>
      </c>
      <c r="I27" s="240" t="str">
        <f t="array" ref="I27">IFERROR(INDEX(productsCartons, SMALL(IF(productsQty&lt;&gt;0, ROW(productsQty)-ROW('BHPC MANAGER'!$CD$10)+1), ROW(L14))), "")</f>
        <v/>
      </c>
      <c r="J27" s="573" t="str">
        <f t="shared" si="1"/>
        <v/>
      </c>
      <c r="K27" s="240" t="str">
        <f t="shared" si="2"/>
        <v/>
      </c>
    </row>
    <row r="28" spans="1:24" ht="15">
      <c r="A28" s="556" t="str">
        <f t="array" ref="A28">IFERROR(INDEX(productsSku, SMALL(IF(productsQty&lt;&gt;0, ROW(productsQty)-ROW('BHPC MANAGER'!$CD$10)+1), ROW(L15))), "")</f>
        <v/>
      </c>
      <c r="B28" s="237" t="str">
        <f t="array" ref="B28">IFERROR(INDEX(productsDescription, SMALL(IF(productsQty&lt;&gt;0, ROW(productsQty)-ROW('BHPC MANAGER'!$CD$10)+1), ROW(L15))), "")</f>
        <v/>
      </c>
      <c r="C28"/>
      <c r="D28"/>
      <c r="E28" s="209"/>
      <c r="F28" s="240" t="str">
        <f t="shared" si="0"/>
        <v/>
      </c>
      <c r="G28" s="240" t="str">
        <f t="array" ref="G28">IFERROR(INDEX(productsQty, SMALL(IF(productsQty&lt;&gt;0, ROW(productsQty)-ROW('BHPC MANAGER'!$CD$10)+1), ROW(L15))), "")</f>
        <v/>
      </c>
      <c r="H28" s="573" t="str">
        <f t="array" ref="H28">IFERROR(INDEX(productsSalePrice, SMALL(IF(productsQty&lt;&gt;0, ROW(productsQty)-ROW('BHPC MANAGER'!$CD$10)+1), ROW(L15))), "")</f>
        <v/>
      </c>
      <c r="I28" s="240" t="str">
        <f t="array" ref="I28">IFERROR(INDEX(productsCartons, SMALL(IF(productsQty&lt;&gt;0, ROW(productsQty)-ROW('BHPC MANAGER'!$CD$10)+1), ROW(L15))), "")</f>
        <v/>
      </c>
      <c r="J28" s="573" t="str">
        <f t="shared" si="1"/>
        <v/>
      </c>
      <c r="K28" s="240" t="str">
        <f t="shared" si="2"/>
        <v/>
      </c>
    </row>
    <row r="29" spans="1:24" ht="15">
      <c r="A29" s="556" t="str">
        <f t="array" ref="A29">IFERROR(INDEX(productsSku, SMALL(IF(productsQty&lt;&gt;0, ROW(productsQty)-ROW('BHPC MANAGER'!$CD$10)+1), ROW(L16))), "")</f>
        <v/>
      </c>
      <c r="B29" s="237" t="str">
        <f t="array" ref="B29">IFERROR(INDEX(productsDescription, SMALL(IF(productsQty&lt;&gt;0, ROW(productsQty)-ROW('BHPC MANAGER'!$CD$10)+1), ROW(L16))), "")</f>
        <v/>
      </c>
      <c r="C29"/>
      <c r="D29"/>
      <c r="E29" s="209"/>
      <c r="F29" s="240" t="str">
        <f t="shared" si="0"/>
        <v/>
      </c>
      <c r="G29" s="240" t="str">
        <f t="array" ref="G29">IFERROR(INDEX(productsQty, SMALL(IF(productsQty&lt;&gt;0, ROW(productsQty)-ROW('BHPC MANAGER'!$CD$10)+1), ROW(L16))), "")</f>
        <v/>
      </c>
      <c r="H29" s="573" t="str">
        <f t="array" ref="H29">IFERROR(INDEX(productsSalePrice, SMALL(IF(productsQty&lt;&gt;0, ROW(productsQty)-ROW('BHPC MANAGER'!$CD$10)+1), ROW(L16))), "")</f>
        <v/>
      </c>
      <c r="I29" s="240" t="str">
        <f t="array" ref="I29">IFERROR(INDEX(productsCartons, SMALL(IF(productsQty&lt;&gt;0, ROW(productsQty)-ROW('BHPC MANAGER'!$CD$10)+1), ROW(L16))), "")</f>
        <v/>
      </c>
      <c r="J29" s="573" t="str">
        <f t="shared" si="1"/>
        <v/>
      </c>
      <c r="K29" s="240" t="str">
        <f t="shared" si="2"/>
        <v/>
      </c>
    </row>
    <row r="30" spans="1:24" ht="15">
      <c r="A30" s="556" t="str">
        <f t="array" ref="A30">IFERROR(INDEX(productsSku, SMALL(IF(productsQty&lt;&gt;0, ROW(productsQty)-ROW('BHPC MANAGER'!$CD$10)+1), ROW(L17))), "")</f>
        <v/>
      </c>
      <c r="B30" s="237" t="str">
        <f t="array" ref="B30">IFERROR(INDEX(productsDescription, SMALL(IF(productsQty&lt;&gt;0, ROW(productsQty)-ROW('BHPC MANAGER'!$CD$10)+1), ROW(L17))), "")</f>
        <v/>
      </c>
      <c r="C30"/>
      <c r="D30"/>
      <c r="E30" s="209"/>
      <c r="F30" s="240" t="str">
        <f t="shared" si="0"/>
        <v/>
      </c>
      <c r="G30" s="240" t="str">
        <f t="array" ref="G30">IFERROR(INDEX(productsQty, SMALL(IF(productsQty&lt;&gt;0, ROW(productsQty)-ROW('BHPC MANAGER'!$CD$10)+1), ROW(L17))), "")</f>
        <v/>
      </c>
      <c r="H30" s="573" t="str">
        <f t="array" ref="H30">IFERROR(INDEX(productsSalePrice, SMALL(IF(productsQty&lt;&gt;0, ROW(productsQty)-ROW('BHPC MANAGER'!$CD$10)+1), ROW(L17))), "")</f>
        <v/>
      </c>
      <c r="I30" s="240" t="str">
        <f t="array" ref="I30">IFERROR(INDEX(productsCartons, SMALL(IF(productsQty&lt;&gt;0, ROW(productsQty)-ROW('BHPC MANAGER'!$CD$10)+1), ROW(L17))), "")</f>
        <v/>
      </c>
      <c r="J30" s="573" t="str">
        <f t="shared" si="1"/>
        <v/>
      </c>
      <c r="K30" s="240" t="str">
        <f t="shared" si="2"/>
        <v/>
      </c>
    </row>
    <row r="31" spans="1:24" ht="15">
      <c r="A31" s="556" t="str">
        <f t="array" ref="A31">IFERROR(INDEX(productsSku, SMALL(IF(productsQty&lt;&gt;0, ROW(productsQty)-ROW('BHPC MANAGER'!$CD$10)+1), ROW(L18))), "")</f>
        <v/>
      </c>
      <c r="B31" s="237" t="str">
        <f t="array" ref="B31">IFERROR(INDEX(productsDescription, SMALL(IF(productsQty&lt;&gt;0, ROW(productsQty)-ROW('BHPC MANAGER'!$CD$10)+1), ROW(L18))), "")</f>
        <v/>
      </c>
      <c r="C31"/>
      <c r="D31"/>
      <c r="E31" s="209"/>
      <c r="F31" s="240" t="str">
        <f t="shared" si="0"/>
        <v/>
      </c>
      <c r="G31" s="240" t="str">
        <f t="array" ref="G31">IFERROR(INDEX(productsQty, SMALL(IF(productsQty&lt;&gt;0, ROW(productsQty)-ROW('BHPC MANAGER'!$CD$10)+1), ROW(L18))), "")</f>
        <v/>
      </c>
      <c r="H31" s="573" t="str">
        <f t="array" ref="H31">IFERROR(INDEX(productsSalePrice, SMALL(IF(productsQty&lt;&gt;0, ROW(productsQty)-ROW('BHPC MANAGER'!$CD$10)+1), ROW(L18))), "")</f>
        <v/>
      </c>
      <c r="I31" s="240" t="str">
        <f t="array" ref="I31">IFERROR(INDEX(productsCartons, SMALL(IF(productsQty&lt;&gt;0, ROW(productsQty)-ROW('BHPC MANAGER'!$CD$10)+1), ROW(L18))), "")</f>
        <v/>
      </c>
      <c r="J31" s="573" t="str">
        <f t="shared" si="1"/>
        <v/>
      </c>
      <c r="K31" s="240" t="str">
        <f t="shared" si="2"/>
        <v/>
      </c>
    </row>
    <row r="32" spans="1:24" ht="15">
      <c r="A32" s="556" t="str">
        <f t="array" ref="A32">IFERROR(INDEX(productsSku, SMALL(IF(productsQty&lt;&gt;0, ROW(productsQty)-ROW('BHPC MANAGER'!$CD$10)+1), ROW(L19))), "")</f>
        <v/>
      </c>
      <c r="B32" s="237" t="str">
        <f t="array" ref="B32">IFERROR(INDEX(productsDescription, SMALL(IF(productsQty&lt;&gt;0, ROW(productsQty)-ROW('BHPC MANAGER'!$CD$10)+1), ROW(L19))), "")</f>
        <v/>
      </c>
      <c r="C32"/>
      <c r="D32"/>
      <c r="E32" s="209"/>
      <c r="F32" s="240" t="str">
        <f t="shared" si="0"/>
        <v/>
      </c>
      <c r="G32" s="240" t="str">
        <f t="array" ref="G32">IFERROR(INDEX(productsQty, SMALL(IF(productsQty&lt;&gt;0, ROW(productsQty)-ROW('BHPC MANAGER'!$CD$10)+1), ROW(L19))), "")</f>
        <v/>
      </c>
      <c r="H32" s="573" t="str">
        <f t="array" ref="H32">IFERROR(INDEX(productsSalePrice, SMALL(IF(productsQty&lt;&gt;0, ROW(productsQty)-ROW('BHPC MANAGER'!$CD$10)+1), ROW(L19))), "")</f>
        <v/>
      </c>
      <c r="I32" s="240" t="str">
        <f t="array" ref="I32">IFERROR(INDEX(productsCartons, SMALL(IF(productsQty&lt;&gt;0, ROW(productsQty)-ROW('BHPC MANAGER'!$CD$10)+1), ROW(L19))), "")</f>
        <v/>
      </c>
      <c r="J32" s="573" t="str">
        <f t="shared" si="1"/>
        <v/>
      </c>
      <c r="K32" s="240" t="str">
        <f t="shared" si="2"/>
        <v/>
      </c>
    </row>
    <row r="33" spans="1:11" ht="15">
      <c r="A33" s="556" t="str">
        <f t="array" ref="A33">IFERROR(INDEX(productsSku, SMALL(IF(productsQty&lt;&gt;0, ROW(productsQty)-ROW('BHPC MANAGER'!$CD$10)+1), ROW(L20))), "")</f>
        <v/>
      </c>
      <c r="B33" s="237" t="str">
        <f t="array" ref="B33">IFERROR(INDEX(productsDescription, SMALL(IF(productsQty&lt;&gt;0, ROW(productsQty)-ROW('BHPC MANAGER'!$CD$10)+1), ROW(L20))), "")</f>
        <v/>
      </c>
      <c r="C33"/>
      <c r="D33"/>
      <c r="E33" s="209"/>
      <c r="F33" s="240" t="str">
        <f t="shared" si="0"/>
        <v/>
      </c>
      <c r="G33" s="240" t="str">
        <f t="array" ref="G33">IFERROR(INDEX(productsQty, SMALL(IF(productsQty&lt;&gt;0, ROW(productsQty)-ROW('BHPC MANAGER'!$CD$10)+1), ROW(L20))), "")</f>
        <v/>
      </c>
      <c r="H33" s="573" t="str">
        <f t="array" ref="H33">IFERROR(INDEX(productsSalePrice, SMALL(IF(productsQty&lt;&gt;0, ROW(productsQty)-ROW('BHPC MANAGER'!$CD$10)+1), ROW(L20))), "")</f>
        <v/>
      </c>
      <c r="I33" s="240" t="str">
        <f t="array" ref="I33">IFERROR(INDEX(productsCartons, SMALL(IF(productsQty&lt;&gt;0, ROW(productsQty)-ROW('BHPC MANAGER'!$CD$10)+1), ROW(L20))), "")</f>
        <v/>
      </c>
      <c r="J33" s="573" t="str">
        <f t="shared" si="1"/>
        <v/>
      </c>
      <c r="K33" s="240" t="str">
        <f t="shared" si="2"/>
        <v/>
      </c>
    </row>
    <row r="34" spans="1:11" ht="15">
      <c r="A34" s="556" t="str">
        <f t="array" ref="A34">IFERROR(INDEX(productsSku, SMALL(IF(productsQty&lt;&gt;0, ROW(productsQty)-ROW('BHPC MANAGER'!$CD$10)+1), ROW(L21))), "")</f>
        <v/>
      </c>
      <c r="B34" s="237" t="str">
        <f t="array" ref="B34">IFERROR(INDEX(productsDescription, SMALL(IF(productsQty&lt;&gt;0, ROW(productsQty)-ROW('BHPC MANAGER'!$CD$10)+1), ROW(L21))), "")</f>
        <v/>
      </c>
      <c r="C34"/>
      <c r="D34"/>
      <c r="E34" s="209"/>
      <c r="F34" s="240" t="str">
        <f t="shared" si="0"/>
        <v/>
      </c>
      <c r="G34" s="240" t="str">
        <f t="array" ref="G34">IFERROR(INDEX(productsQty, SMALL(IF(productsQty&lt;&gt;0, ROW(productsQty)-ROW('BHPC MANAGER'!$CD$10)+1), ROW(L21))), "")</f>
        <v/>
      </c>
      <c r="H34" s="573" t="str">
        <f t="array" ref="H34">IFERROR(INDEX(productsSalePrice, SMALL(IF(productsQty&lt;&gt;0, ROW(productsQty)-ROW('BHPC MANAGER'!$CD$10)+1), ROW(L21))), "")</f>
        <v/>
      </c>
      <c r="I34" s="240" t="str">
        <f t="array" ref="I34">IFERROR(INDEX(productsCartons, SMALL(IF(productsQty&lt;&gt;0, ROW(productsQty)-ROW('BHPC MANAGER'!$CD$10)+1), ROW(L21))), "")</f>
        <v/>
      </c>
      <c r="J34" s="573" t="str">
        <f t="shared" si="1"/>
        <v/>
      </c>
      <c r="K34" s="240" t="str">
        <f t="shared" si="2"/>
        <v/>
      </c>
    </row>
    <row r="35" spans="1:11" ht="15">
      <c r="A35" s="556" t="str">
        <f t="array" ref="A35">IFERROR(INDEX(productsSku, SMALL(IF(productsQty&lt;&gt;0, ROW(productsQty)-ROW('BHPC MANAGER'!$CD$10)+1), ROW(L22))), "")</f>
        <v/>
      </c>
      <c r="B35" s="237" t="str">
        <f t="array" ref="B35">IFERROR(INDEX(productsDescription, SMALL(IF(productsQty&lt;&gt;0, ROW(productsQty)-ROW('BHPC MANAGER'!$CD$10)+1), ROW(L22))), "")</f>
        <v/>
      </c>
      <c r="C35"/>
      <c r="D35"/>
      <c r="E35" s="209"/>
      <c r="F35" s="240" t="str">
        <f t="shared" si="0"/>
        <v/>
      </c>
      <c r="G35" s="240" t="str">
        <f t="array" ref="G35">IFERROR(INDEX(productsQty, SMALL(IF(productsQty&lt;&gt;0, ROW(productsQty)-ROW('BHPC MANAGER'!$CD$10)+1), ROW(L22))), "")</f>
        <v/>
      </c>
      <c r="H35" s="573" t="str">
        <f t="array" ref="H35">IFERROR(INDEX(productsSalePrice, SMALL(IF(productsQty&lt;&gt;0, ROW(productsQty)-ROW('BHPC MANAGER'!$CD$10)+1), ROW(L22))), "")</f>
        <v/>
      </c>
      <c r="I35" s="240" t="str">
        <f t="array" ref="I35">IFERROR(INDEX(productsCartons, SMALL(IF(productsQty&lt;&gt;0, ROW(productsQty)-ROW('BHPC MANAGER'!$CD$10)+1), ROW(L22))), "")</f>
        <v/>
      </c>
      <c r="J35" s="573" t="str">
        <f t="shared" si="1"/>
        <v/>
      </c>
      <c r="K35" s="240" t="str">
        <f t="shared" si="2"/>
        <v/>
      </c>
    </row>
    <row r="36" spans="1:11" ht="15">
      <c r="A36" s="556" t="str">
        <f t="array" ref="A36">IFERROR(INDEX(productsSku, SMALL(IF(productsQty&lt;&gt;0, ROW(productsQty)-ROW('BHPC MANAGER'!$CD$10)+1), ROW(L23))), "")</f>
        <v/>
      </c>
      <c r="B36" s="237" t="str">
        <f t="array" ref="B36">IFERROR(INDEX(productsDescription, SMALL(IF(productsQty&lt;&gt;0, ROW(productsQty)-ROW('BHPC MANAGER'!$CD$10)+1), ROW(L23))), "")</f>
        <v/>
      </c>
      <c r="C36"/>
      <c r="D36"/>
      <c r="E36" s="209"/>
      <c r="F36" s="240" t="str">
        <f t="shared" si="0"/>
        <v/>
      </c>
      <c r="G36" s="240" t="str">
        <f t="array" ref="G36">IFERROR(INDEX(productsQty, SMALL(IF(productsQty&lt;&gt;0, ROW(productsQty)-ROW('BHPC MANAGER'!$CD$10)+1), ROW(L23))), "")</f>
        <v/>
      </c>
      <c r="H36" s="573" t="str">
        <f t="array" ref="H36">IFERROR(INDEX(productsSalePrice, SMALL(IF(productsQty&lt;&gt;0, ROW(productsQty)-ROW('BHPC MANAGER'!$CD$10)+1), ROW(L23))), "")</f>
        <v/>
      </c>
      <c r="I36" s="240" t="str">
        <f t="array" ref="I36">IFERROR(INDEX(productsCartons, SMALL(IF(productsQty&lt;&gt;0, ROW(productsQty)-ROW('BHPC MANAGER'!$CD$10)+1), ROW(L23))), "")</f>
        <v/>
      </c>
      <c r="J36" s="573" t="str">
        <f t="shared" si="1"/>
        <v/>
      </c>
      <c r="K36" s="240" t="str">
        <f t="shared" si="2"/>
        <v/>
      </c>
    </row>
    <row r="37" spans="1:11" ht="15">
      <c r="A37" s="556" t="str">
        <f t="array" ref="A37">IFERROR(INDEX(productsSku, SMALL(IF(productsQty&lt;&gt;0, ROW(productsQty)-ROW('BHPC MANAGER'!$CD$10)+1), ROW(L24))), "")</f>
        <v/>
      </c>
      <c r="B37" s="237" t="str">
        <f t="array" ref="B37">IFERROR(INDEX(productsDescription, SMALL(IF(productsQty&lt;&gt;0, ROW(productsQty)-ROW('BHPC MANAGER'!$CD$10)+1), ROW(L24))), "")</f>
        <v/>
      </c>
      <c r="C37"/>
      <c r="D37"/>
      <c r="E37" s="209"/>
      <c r="F37" s="240" t="str">
        <f t="shared" si="0"/>
        <v/>
      </c>
      <c r="G37" s="240" t="str">
        <f t="array" ref="G37">IFERROR(INDEX(productsQty, SMALL(IF(productsQty&lt;&gt;0, ROW(productsQty)-ROW('BHPC MANAGER'!$CD$10)+1), ROW(L24))), "")</f>
        <v/>
      </c>
      <c r="H37" s="573" t="str">
        <f t="array" ref="H37">IFERROR(INDEX(productsSalePrice, SMALL(IF(productsQty&lt;&gt;0, ROW(productsQty)-ROW('BHPC MANAGER'!$CD$10)+1), ROW(L24))), "")</f>
        <v/>
      </c>
      <c r="I37" s="240" t="str">
        <f t="array" ref="I37">IFERROR(INDEX(productsCartons, SMALL(IF(productsQty&lt;&gt;0, ROW(productsQty)-ROW('BHPC MANAGER'!$CD$10)+1), ROW(L24))), "")</f>
        <v/>
      </c>
      <c r="J37" s="573" t="str">
        <f t="shared" si="1"/>
        <v/>
      </c>
      <c r="K37" s="240" t="str">
        <f t="shared" si="2"/>
        <v/>
      </c>
    </row>
    <row r="38" spans="1:11" ht="15">
      <c r="A38" s="556" t="str">
        <f t="array" ref="A38">IFERROR(INDEX(productsSku, SMALL(IF(productsQty&lt;&gt;0, ROW(productsQty)-ROW('BHPC MANAGER'!$CD$10)+1), ROW(L25))), "")</f>
        <v/>
      </c>
      <c r="B38" s="237" t="str">
        <f t="array" ref="B38">IFERROR(INDEX(productsDescription, SMALL(IF(productsQty&lt;&gt;0, ROW(productsQty)-ROW('BHPC MANAGER'!$CD$10)+1), ROW(L25))), "")</f>
        <v/>
      </c>
      <c r="C38"/>
      <c r="D38"/>
      <c r="E38" s="209"/>
      <c r="F38" s="240" t="str">
        <f t="shared" si="0"/>
        <v/>
      </c>
      <c r="G38" s="240" t="str">
        <f t="array" ref="G38">IFERROR(INDEX(productsQty, SMALL(IF(productsQty&lt;&gt;0, ROW(productsQty)-ROW('BHPC MANAGER'!$CD$10)+1), ROW(L25))), "")</f>
        <v/>
      </c>
      <c r="H38" s="573" t="str">
        <f t="array" ref="H38">IFERROR(INDEX(productsSalePrice, SMALL(IF(productsQty&lt;&gt;0, ROW(productsQty)-ROW('BHPC MANAGER'!$CD$10)+1), ROW(L25))), "")</f>
        <v/>
      </c>
      <c r="I38" s="240" t="str">
        <f t="array" ref="I38">IFERROR(INDEX(productsCartons, SMALL(IF(productsQty&lt;&gt;0, ROW(productsQty)-ROW('BHPC MANAGER'!$CD$10)+1), ROW(L25))), "")</f>
        <v/>
      </c>
      <c r="J38" s="573" t="str">
        <f t="shared" si="1"/>
        <v/>
      </c>
      <c r="K38" s="240" t="str">
        <f t="shared" si="2"/>
        <v/>
      </c>
    </row>
    <row r="39" spans="1:11" ht="15">
      <c r="A39" s="556" t="str">
        <f t="array" ref="A39">IFERROR(INDEX(productsSku, SMALL(IF(productsQty&lt;&gt;0, ROW(productsQty)-ROW('BHPC MANAGER'!$CD$10)+1), ROW(L26))), "")</f>
        <v/>
      </c>
      <c r="B39" s="237" t="str">
        <f t="array" ref="B39">IFERROR(INDEX(productsDescription, SMALL(IF(productsQty&lt;&gt;0, ROW(productsQty)-ROW('BHPC MANAGER'!$CD$10)+1), ROW(L26))), "")</f>
        <v/>
      </c>
      <c r="C39"/>
      <c r="D39"/>
      <c r="E39" s="209"/>
      <c r="F39" s="240" t="str">
        <f t="shared" si="0"/>
        <v/>
      </c>
      <c r="G39" s="240" t="str">
        <f t="array" ref="G39">IFERROR(INDEX(productsQty, SMALL(IF(productsQty&lt;&gt;0, ROW(productsQty)-ROW('BHPC MANAGER'!$CD$10)+1), ROW(L26))), "")</f>
        <v/>
      </c>
      <c r="H39" s="573" t="str">
        <f t="array" ref="H39">IFERROR(INDEX(productsSalePrice, SMALL(IF(productsQty&lt;&gt;0, ROW(productsQty)-ROW('BHPC MANAGER'!$CD$10)+1), ROW(L26))), "")</f>
        <v/>
      </c>
      <c r="I39" s="240" t="str">
        <f t="array" ref="I39">IFERROR(INDEX(productsCartons, SMALL(IF(productsQty&lt;&gt;0, ROW(productsQty)-ROW('BHPC MANAGER'!$CD$10)+1), ROW(L26))), "")</f>
        <v/>
      </c>
      <c r="J39" s="573" t="str">
        <f t="shared" si="1"/>
        <v/>
      </c>
      <c r="K39" s="240" t="str">
        <f t="shared" si="2"/>
        <v/>
      </c>
    </row>
    <row r="40" spans="1:11" ht="15">
      <c r="A40" s="556"/>
      <c r="B40" s="237"/>
      <c r="C40"/>
      <c r="D40"/>
      <c r="E40" s="209"/>
      <c r="F40" s="240"/>
      <c r="G40" s="240"/>
      <c r="H40" s="573"/>
      <c r="I40" s="240"/>
      <c r="J40" s="573"/>
      <c r="K40" s="240"/>
    </row>
    <row r="41" spans="1:11" ht="15">
      <c r="A41" s="556"/>
      <c r="B41" s="237"/>
      <c r="C41"/>
      <c r="D41"/>
      <c r="E41" s="209"/>
      <c r="F41" s="240"/>
      <c r="G41" s="240"/>
      <c r="H41" s="573"/>
      <c r="I41" s="240"/>
      <c r="J41" s="573"/>
      <c r="K41" s="240"/>
    </row>
    <row r="42" spans="1:11" ht="15">
      <c r="A42" s="556"/>
      <c r="B42" s="237"/>
      <c r="C42"/>
      <c r="D42"/>
      <c r="E42" s="209"/>
      <c r="F42" s="240"/>
      <c r="G42" s="240"/>
      <c r="H42" s="573"/>
      <c r="I42" s="240"/>
      <c r="J42" s="573"/>
      <c r="K42" s="240"/>
    </row>
    <row r="43" spans="1:11" ht="15">
      <c r="A43" s="556"/>
      <c r="B43" s="237"/>
      <c r="C43"/>
      <c r="D43"/>
      <c r="E43" s="209"/>
      <c r="F43" s="240"/>
      <c r="G43" s="240"/>
      <c r="H43" s="573"/>
      <c r="I43" s="240"/>
      <c r="J43" s="573"/>
      <c r="K43" s="240"/>
    </row>
    <row r="44" spans="1:11" ht="15">
      <c r="A44" s="556"/>
      <c r="B44" s="237"/>
      <c r="C44"/>
      <c r="D44"/>
      <c r="E44" s="209"/>
      <c r="F44" s="240"/>
      <c r="G44" s="240"/>
      <c r="H44" s="573"/>
      <c r="I44" s="240"/>
      <c r="J44" s="573"/>
      <c r="K44" s="240"/>
    </row>
    <row r="45" spans="1:11" ht="15">
      <c r="A45" s="556"/>
      <c r="B45" s="237"/>
      <c r="C45"/>
      <c r="D45"/>
      <c r="E45" s="209"/>
      <c r="F45" s="240"/>
      <c r="G45" s="240"/>
      <c r="H45" s="573"/>
      <c r="I45" s="240"/>
      <c r="J45" s="573"/>
      <c r="K45" s="240"/>
    </row>
    <row r="46" spans="1:11" ht="15">
      <c r="A46" s="556" t="str">
        <f t="array" ref="A46">IFERROR(INDEX(productsSku, SMALL(IF(productsQty&lt;&gt;0, ROW(productsQty)-ROW('BHPC MANAGER'!$CD$10)+1), ROW(L27))), "")</f>
        <v/>
      </c>
      <c r="B46" s="237" t="str">
        <f t="array" ref="B46">IFERROR(INDEX(productsDescription, SMALL(IF(productsQty&lt;&gt;0, ROW(productsQty)-ROW('BHPC MANAGER'!$CD$10)+1), ROW(L27))), "")</f>
        <v/>
      </c>
      <c r="C46"/>
      <c r="D46"/>
      <c r="E46" s="209"/>
      <c r="F46" s="240" t="str">
        <f t="shared" ref="F46:F55" si="3">IF(A46="","","PC")</f>
        <v/>
      </c>
      <c r="G46" s="240" t="str">
        <f t="array" ref="G46">IFERROR(INDEX(productsQty, SMALL(IF(productsQty&lt;&gt;0, ROW(productsQty)-ROW('BHPC MANAGER'!$CD$10)+1), ROW(L27))), "")</f>
        <v/>
      </c>
      <c r="H46" s="573" t="str">
        <f t="array" ref="H46">IFERROR(INDEX(productsSalePrice, SMALL(IF(productsQty&lt;&gt;0, ROW(productsQty)-ROW('BHPC MANAGER'!$CD$10)+1), ROW(L27))), "")</f>
        <v/>
      </c>
      <c r="I46" s="240" t="str">
        <f t="array" ref="I46">IFERROR(INDEX(productsCartons, SMALL(IF(productsQty&lt;&gt;0, ROW(productsQty)-ROW('BHPC MANAGER'!$CD$10)+1), ROW(L27))), "")</f>
        <v/>
      </c>
      <c r="J46" s="573" t="str">
        <f t="shared" ref="J46:J55" si="4">IF(A46="","",G46*H46)</f>
        <v/>
      </c>
      <c r="K46" s="240" t="str">
        <f t="shared" ref="K46:K55" si="5">IF(A46="","",$C$69)</f>
        <v/>
      </c>
    </row>
    <row r="47" spans="1:11" ht="15">
      <c r="A47" s="556" t="str">
        <f t="array" ref="A47">IFERROR(INDEX(productsSku, SMALL(IF(productsQty&lt;&gt;0, ROW(productsQty)-ROW('BHPC MANAGER'!$CD$10)+1), ROW(L28))), "")</f>
        <v/>
      </c>
      <c r="B47" s="237" t="str">
        <f t="array" ref="B47">IFERROR(INDEX(productsDescription, SMALL(IF(productsQty&lt;&gt;0, ROW(productsQty)-ROW('BHPC MANAGER'!$CD$10)+1), ROW(L28))), "")</f>
        <v/>
      </c>
      <c r="C47"/>
      <c r="D47"/>
      <c r="E47" s="209"/>
      <c r="F47" s="240" t="str">
        <f t="shared" si="3"/>
        <v/>
      </c>
      <c r="G47" s="240" t="str">
        <f t="array" ref="G47">IFERROR(INDEX(productsQty, SMALL(IF(productsQty&lt;&gt;0, ROW(productsQty)-ROW('BHPC MANAGER'!$CD$10)+1), ROW(L28))), "")</f>
        <v/>
      </c>
      <c r="H47" s="573" t="str">
        <f t="array" ref="H47">IFERROR(INDEX(productsSalePrice, SMALL(IF(productsQty&lt;&gt;0, ROW(productsQty)-ROW('BHPC MANAGER'!$CD$10)+1), ROW(L28))), "")</f>
        <v/>
      </c>
      <c r="I47" s="240" t="str">
        <f t="array" ref="I47">IFERROR(INDEX(productsCartons, SMALL(IF(productsQty&lt;&gt;0, ROW(productsQty)-ROW('BHPC MANAGER'!$CD$10)+1), ROW(L28))), "")</f>
        <v/>
      </c>
      <c r="J47" s="573" t="str">
        <f t="shared" si="4"/>
        <v/>
      </c>
      <c r="K47" s="240" t="str">
        <f t="shared" si="5"/>
        <v/>
      </c>
    </row>
    <row r="48" spans="1:11" ht="15">
      <c r="A48" s="556" t="str">
        <f t="array" ref="A48">IFERROR(INDEX(productsSku, SMALL(IF(productsQty&lt;&gt;0, ROW(productsQty)-ROW('BHPC MANAGER'!$CD$10)+1), ROW(L29))), "")</f>
        <v/>
      </c>
      <c r="B48" s="237" t="str">
        <f t="array" ref="B48">IFERROR(INDEX(productsDescription, SMALL(IF(productsQty&lt;&gt;0, ROW(productsQty)-ROW('BHPC MANAGER'!$CD$10)+1), ROW(L29))), "")</f>
        <v/>
      </c>
      <c r="C48"/>
      <c r="D48"/>
      <c r="E48" s="209"/>
      <c r="F48" s="240" t="str">
        <f t="shared" si="3"/>
        <v/>
      </c>
      <c r="G48" s="240" t="str">
        <f t="array" ref="G48">IFERROR(INDEX(productsQty, SMALL(IF(productsQty&lt;&gt;0, ROW(productsQty)-ROW('BHPC MANAGER'!$CD$10)+1), ROW(L29))), "")</f>
        <v/>
      </c>
      <c r="H48" s="573" t="str">
        <f t="array" ref="H48">IFERROR(INDEX(productsSalePrice, SMALL(IF(productsQty&lt;&gt;0, ROW(productsQty)-ROW('BHPC MANAGER'!$CD$10)+1), ROW(L29))), "")</f>
        <v/>
      </c>
      <c r="I48" s="240" t="str">
        <f t="array" ref="I48">IFERROR(INDEX(productsCartons, SMALL(IF(productsQty&lt;&gt;0, ROW(productsQty)-ROW('BHPC MANAGER'!$CD$10)+1), ROW(L29))), "")</f>
        <v/>
      </c>
      <c r="J48" s="573" t="str">
        <f t="shared" si="4"/>
        <v/>
      </c>
      <c r="K48" s="240" t="str">
        <f t="shared" si="5"/>
        <v/>
      </c>
    </row>
    <row r="49" spans="1:11" ht="15">
      <c r="A49" s="556" t="str">
        <f t="array" ref="A49">IFERROR(INDEX(productsSku, SMALL(IF(productsQty&lt;&gt;0, ROW(productsQty)-ROW('BHPC MANAGER'!$CD$10)+1), ROW(L30))), "")</f>
        <v/>
      </c>
      <c r="B49" s="237" t="str">
        <f t="array" ref="B49">IFERROR(INDEX(productsDescription, SMALL(IF(productsQty&lt;&gt;0, ROW(productsQty)-ROW('BHPC MANAGER'!$CD$10)+1), ROW(L30))), "")</f>
        <v/>
      </c>
      <c r="C49"/>
      <c r="D49"/>
      <c r="E49" s="209"/>
      <c r="F49" s="240" t="str">
        <f t="shared" si="3"/>
        <v/>
      </c>
      <c r="G49" s="240" t="str">
        <f t="array" ref="G49">IFERROR(INDEX(productsQty, SMALL(IF(productsQty&lt;&gt;0, ROW(productsQty)-ROW('BHPC MANAGER'!$CD$10)+1), ROW(L30))), "")</f>
        <v/>
      </c>
      <c r="H49" s="573" t="str">
        <f t="array" ref="H49">IFERROR(INDEX(productsSalePrice, SMALL(IF(productsQty&lt;&gt;0, ROW(productsQty)-ROW('BHPC MANAGER'!$CD$10)+1), ROW(L30))), "")</f>
        <v/>
      </c>
      <c r="I49" s="240" t="str">
        <f t="array" ref="I49">IFERROR(INDEX(productsCartons, SMALL(IF(productsQty&lt;&gt;0, ROW(productsQty)-ROW('BHPC MANAGER'!$CD$10)+1), ROW(L30))), "")</f>
        <v/>
      </c>
      <c r="J49" s="573" t="str">
        <f t="shared" si="4"/>
        <v/>
      </c>
      <c r="K49" s="240" t="str">
        <f t="shared" si="5"/>
        <v/>
      </c>
    </row>
    <row r="50" spans="1:11" ht="15">
      <c r="A50" s="556" t="str">
        <f t="array" ref="A50">IFERROR(INDEX(productsSku, SMALL(IF(productsQty&lt;&gt;0, ROW(productsQty)-ROW('BHPC MANAGER'!$CD$10)+1), ROW(L31))), "")</f>
        <v/>
      </c>
      <c r="B50" s="237" t="str">
        <f t="array" ref="B50">IFERROR(INDEX(productsDescription, SMALL(IF(productsQty&lt;&gt;0, ROW(productsQty)-ROW('BHPC MANAGER'!$CD$10)+1), ROW(L31))), "")</f>
        <v/>
      </c>
      <c r="C50"/>
      <c r="D50"/>
      <c r="E50" s="209"/>
      <c r="F50" s="240" t="str">
        <f t="shared" si="3"/>
        <v/>
      </c>
      <c r="G50" s="240" t="str">
        <f t="array" ref="G50">IFERROR(INDEX(productsQty, SMALL(IF(productsQty&lt;&gt;0, ROW(productsQty)-ROW('BHPC MANAGER'!$CD$10)+1), ROW(L31))), "")</f>
        <v/>
      </c>
      <c r="H50" s="573" t="str">
        <f t="array" ref="H50">IFERROR(INDEX(productsSalePrice, SMALL(IF(productsQty&lt;&gt;0, ROW(productsQty)-ROW('BHPC MANAGER'!$CD$10)+1), ROW(L31))), "")</f>
        <v/>
      </c>
      <c r="I50" s="240" t="str">
        <f t="array" ref="I50">IFERROR(INDEX(productsCartons, SMALL(IF(productsQty&lt;&gt;0, ROW(productsQty)-ROW('BHPC MANAGER'!$CD$10)+1), ROW(L31))), "")</f>
        <v/>
      </c>
      <c r="J50" s="573" t="str">
        <f t="shared" si="4"/>
        <v/>
      </c>
      <c r="K50" s="240" t="str">
        <f t="shared" si="5"/>
        <v/>
      </c>
    </row>
    <row r="51" spans="1:11" ht="15">
      <c r="A51" s="556" t="str">
        <f t="array" ref="A51">IFERROR(INDEX(productsSku, SMALL(IF(productsQty&lt;&gt;0, ROW(productsQty)-ROW('BHPC MANAGER'!$CD$10)+1), ROW(L32))), "")</f>
        <v/>
      </c>
      <c r="B51" s="237" t="str">
        <f t="array" ref="B51">IFERROR(INDEX(productsDescription, SMALL(IF(productsQty&lt;&gt;0, ROW(productsQty)-ROW('BHPC MANAGER'!$CD$10)+1), ROW(L32))), "")</f>
        <v/>
      </c>
      <c r="C51"/>
      <c r="D51"/>
      <c r="E51" s="209"/>
      <c r="F51" s="240" t="str">
        <f t="shared" si="3"/>
        <v/>
      </c>
      <c r="G51" s="240" t="str">
        <f t="array" ref="G51">IFERROR(INDEX(productsQty, SMALL(IF(productsQty&lt;&gt;0, ROW(productsQty)-ROW('BHPC MANAGER'!$CD$10)+1), ROW(L32))), "")</f>
        <v/>
      </c>
      <c r="H51" s="573" t="str">
        <f t="array" ref="H51">IFERROR(INDEX(productsSalePrice, SMALL(IF(productsQty&lt;&gt;0, ROW(productsQty)-ROW('BHPC MANAGER'!$CD$10)+1), ROW(L32))), "")</f>
        <v/>
      </c>
      <c r="I51" s="240" t="str">
        <f t="array" ref="I51">IFERROR(INDEX(productsCartons, SMALL(IF(productsQty&lt;&gt;0, ROW(productsQty)-ROW('BHPC MANAGER'!$CD$10)+1), ROW(L32))), "")</f>
        <v/>
      </c>
      <c r="J51" s="573" t="str">
        <f t="shared" si="4"/>
        <v/>
      </c>
      <c r="K51" s="240" t="str">
        <f t="shared" si="5"/>
        <v/>
      </c>
    </row>
    <row r="52" spans="1:11" ht="15">
      <c r="A52" s="556" t="str">
        <f t="array" ref="A52">IFERROR(INDEX(productsSku, SMALL(IF(productsQty&lt;&gt;0, ROW(productsQty)-ROW('BHPC MANAGER'!$CD$10)+1), ROW(L33))), "")</f>
        <v/>
      </c>
      <c r="B52" s="237" t="str">
        <f t="array" ref="B52">IFERROR(INDEX(productsDescription, SMALL(IF(productsQty&lt;&gt;0, ROW(productsQty)-ROW('BHPC MANAGER'!$CD$10)+1), ROW(L33))), "")</f>
        <v/>
      </c>
      <c r="C52"/>
      <c r="D52"/>
      <c r="E52" s="209"/>
      <c r="F52" s="240" t="str">
        <f t="shared" si="3"/>
        <v/>
      </c>
      <c r="G52" s="240" t="str">
        <f t="array" ref="G52">IFERROR(INDEX(productsQty, SMALL(IF(productsQty&lt;&gt;0, ROW(productsQty)-ROW('BHPC MANAGER'!$CD$10)+1), ROW(L33))), "")</f>
        <v/>
      </c>
      <c r="H52" s="573" t="str">
        <f t="array" ref="H52">IFERROR(INDEX(productsSalePrice, SMALL(IF(productsQty&lt;&gt;0, ROW(productsQty)-ROW('BHPC MANAGER'!$CD$10)+1), ROW(L33))), "")</f>
        <v/>
      </c>
      <c r="I52" s="240" t="str">
        <f t="array" ref="I52">IFERROR(INDEX(productsCartons, SMALL(IF(productsQty&lt;&gt;0, ROW(productsQty)-ROW('BHPC MANAGER'!$CD$10)+1), ROW(L33))), "")</f>
        <v/>
      </c>
      <c r="J52" s="573" t="str">
        <f t="shared" si="4"/>
        <v/>
      </c>
      <c r="K52" s="240" t="str">
        <f t="shared" si="5"/>
        <v/>
      </c>
    </row>
    <row r="53" spans="1:11" ht="15">
      <c r="A53" s="556" t="str">
        <f t="array" ref="A53">IFERROR(INDEX(productsSku, SMALL(IF(productsQty&lt;&gt;0, ROW(productsQty)-ROW('BHPC MANAGER'!$CD$10)+1), ROW(L34))), "")</f>
        <v/>
      </c>
      <c r="B53" s="237" t="str">
        <f t="array" ref="B53">IFERROR(INDEX(productsDescription, SMALL(IF(productsQty&lt;&gt;0, ROW(productsQty)-ROW('BHPC MANAGER'!$CD$10)+1), ROW(L34))), "")</f>
        <v/>
      </c>
      <c r="C53"/>
      <c r="D53"/>
      <c r="E53" s="209"/>
      <c r="F53" s="240" t="str">
        <f t="shared" si="3"/>
        <v/>
      </c>
      <c r="G53" s="240" t="str">
        <f t="array" ref="G53">IFERROR(INDEX(productsQty, SMALL(IF(productsQty&lt;&gt;0, ROW(productsQty)-ROW('BHPC MANAGER'!$CD$10)+1), ROW(L34))), "")</f>
        <v/>
      </c>
      <c r="H53" s="573" t="str">
        <f t="array" ref="H53">IFERROR(INDEX(productsSalePrice, SMALL(IF(productsQty&lt;&gt;0, ROW(productsQty)-ROW('BHPC MANAGER'!$CD$10)+1), ROW(L34))), "")</f>
        <v/>
      </c>
      <c r="I53" s="240" t="str">
        <f t="array" ref="I53">IFERROR(INDEX(productsCartons, SMALL(IF(productsQty&lt;&gt;0, ROW(productsQty)-ROW('BHPC MANAGER'!$CD$10)+1), ROW(L34))), "")</f>
        <v/>
      </c>
      <c r="J53" s="573" t="str">
        <f t="shared" si="4"/>
        <v/>
      </c>
      <c r="K53" s="240" t="str">
        <f t="shared" si="5"/>
        <v/>
      </c>
    </row>
    <row r="54" spans="1:11" ht="15">
      <c r="A54" s="556" t="str">
        <f t="array" ref="A54">IFERROR(INDEX(productsSku, SMALL(IF(productsQty&lt;&gt;0, ROW(productsQty)-ROW('BHPC MANAGER'!$CD$10)+1), ROW(L35))), "")</f>
        <v/>
      </c>
      <c r="B54" s="237" t="str">
        <f t="array" ref="B54">IFERROR(INDEX(productsDescription, SMALL(IF(productsQty&lt;&gt;0, ROW(productsQty)-ROW('BHPC MANAGER'!$CD$10)+1), ROW(L35))), "")</f>
        <v/>
      </c>
      <c r="C54"/>
      <c r="D54"/>
      <c r="E54" s="209"/>
      <c r="F54" s="240" t="str">
        <f t="shared" si="3"/>
        <v/>
      </c>
      <c r="G54" s="240" t="str">
        <f t="array" ref="G54">IFERROR(INDEX(productsQty, SMALL(IF(productsQty&lt;&gt;0, ROW(productsQty)-ROW('BHPC MANAGER'!$CD$10)+1), ROW(L35))), "")</f>
        <v/>
      </c>
      <c r="H54" s="573" t="str">
        <f t="array" ref="H54">IFERROR(INDEX(productsSalePrice, SMALL(IF(productsQty&lt;&gt;0, ROW(productsQty)-ROW('BHPC MANAGER'!$CD$10)+1), ROW(L35))), "")</f>
        <v/>
      </c>
      <c r="I54" s="240" t="str">
        <f t="array" ref="I54">IFERROR(INDEX(productsCartons, SMALL(IF(productsQty&lt;&gt;0, ROW(productsQty)-ROW('BHPC MANAGER'!$CD$10)+1), ROW(L35))), "")</f>
        <v/>
      </c>
      <c r="J54" s="573" t="str">
        <f t="shared" si="4"/>
        <v/>
      </c>
      <c r="K54" s="240" t="str">
        <f t="shared" si="5"/>
        <v/>
      </c>
    </row>
    <row r="55" spans="1:11" ht="15">
      <c r="A55" s="556" t="str">
        <f t="array" ref="A55">IFERROR(INDEX(productsSku, SMALL(IF(productsQty&lt;&gt;0, ROW(productsQty)-ROW('BHPC MANAGER'!$CD$10)+1), ROW(L36))), "")</f>
        <v/>
      </c>
      <c r="B55" s="237" t="str">
        <f t="array" ref="B55">IFERROR(INDEX(productsDescription, SMALL(IF(productsQty&lt;&gt;0, ROW(productsQty)-ROW('BHPC MANAGER'!$CD$10)+1), ROW(L36))), "")</f>
        <v/>
      </c>
      <c r="C55"/>
      <c r="D55"/>
      <c r="E55" s="209"/>
      <c r="F55" s="240" t="str">
        <f t="shared" si="3"/>
        <v/>
      </c>
      <c r="G55" s="240" t="str">
        <f t="array" ref="G55">IFERROR(INDEX(productsQty, SMALL(IF(productsQty&lt;&gt;0, ROW(productsQty)-ROW('BHPC MANAGER'!$CD$10)+1), ROW(L36))), "")</f>
        <v/>
      </c>
      <c r="H55" s="573" t="str">
        <f t="array" ref="H55">IFERROR(INDEX(productsSalePrice, SMALL(IF(productsQty&lt;&gt;0, ROW(productsQty)-ROW('BHPC MANAGER'!$CD$10)+1), ROW(L36))), "")</f>
        <v/>
      </c>
      <c r="I55" s="240" t="str">
        <f t="array" ref="I55">IFERROR(INDEX(productsCartons, SMALL(IF(productsQty&lt;&gt;0, ROW(productsQty)-ROW('BHPC MANAGER'!$CD$10)+1), ROW(L36))), "")</f>
        <v/>
      </c>
      <c r="J55" s="573" t="str">
        <f t="shared" si="4"/>
        <v/>
      </c>
      <c r="K55" s="240" t="str">
        <f t="shared" si="5"/>
        <v/>
      </c>
    </row>
    <row r="56" spans="1:11" ht="15">
      <c r="A56" s="556"/>
      <c r="B56" s="237"/>
      <c r="C56"/>
      <c r="D56"/>
      <c r="E56" s="209"/>
      <c r="F56" s="240"/>
      <c r="G56" s="240"/>
      <c r="H56" s="573"/>
      <c r="I56" s="240"/>
      <c r="J56" s="573"/>
      <c r="K56" s="240"/>
    </row>
    <row r="57" spans="1:11" ht="15">
      <c r="A57" s="556"/>
      <c r="B57" s="237"/>
      <c r="C57"/>
      <c r="D57"/>
      <c r="E57" s="209"/>
      <c r="F57" s="240"/>
      <c r="G57" s="240"/>
      <c r="H57" s="573"/>
      <c r="I57" s="240"/>
      <c r="J57" s="573"/>
      <c r="K57" s="240"/>
    </row>
    <row r="58" spans="1:11" ht="15">
      <c r="A58" s="556"/>
      <c r="B58" s="237"/>
      <c r="C58"/>
      <c r="D58"/>
      <c r="E58" s="209"/>
      <c r="F58" s="240"/>
      <c r="G58" s="240"/>
      <c r="H58" s="573"/>
      <c r="I58" s="240"/>
      <c r="J58" s="573"/>
      <c r="K58" s="240"/>
    </row>
    <row r="59" spans="1:11" ht="15">
      <c r="A59" s="556"/>
      <c r="B59" s="237"/>
      <c r="C59"/>
      <c r="D59"/>
      <c r="E59" s="209"/>
      <c r="F59" s="240"/>
      <c r="G59" s="240"/>
      <c r="H59" s="573"/>
      <c r="I59" s="240"/>
      <c r="J59" s="573"/>
      <c r="K59" s="240"/>
    </row>
    <row r="60" spans="1:11" ht="15">
      <c r="A60" s="556"/>
      <c r="B60" s="237"/>
      <c r="C60"/>
      <c r="D60"/>
      <c r="E60" s="209"/>
      <c r="F60" s="240"/>
      <c r="G60" s="240"/>
      <c r="H60" s="573"/>
      <c r="I60" s="240"/>
      <c r="J60" s="573"/>
      <c r="K60" s="240"/>
    </row>
    <row r="61" spans="1:11" ht="15">
      <c r="A61" s="556"/>
      <c r="B61" s="237"/>
      <c r="C61"/>
      <c r="D61"/>
      <c r="E61" s="209"/>
      <c r="F61" s="240"/>
      <c r="G61" s="240"/>
      <c r="H61" s="573"/>
      <c r="I61" s="240"/>
      <c r="J61" s="573"/>
      <c r="K61" s="240"/>
    </row>
    <row r="62" spans="1:11" ht="15">
      <c r="A62" s="556"/>
      <c r="B62" s="237"/>
      <c r="C62"/>
      <c r="D62"/>
      <c r="E62" s="209"/>
      <c r="F62" s="240"/>
      <c r="G62" s="240"/>
      <c r="H62" s="573"/>
      <c r="I62" s="240"/>
      <c r="J62" s="573"/>
      <c r="K62" s="240"/>
    </row>
    <row r="63" spans="1:11" ht="15">
      <c r="A63" s="556"/>
      <c r="B63" s="237"/>
      <c r="C63"/>
      <c r="D63"/>
      <c r="E63" s="209"/>
      <c r="F63" s="240"/>
      <c r="G63" s="240"/>
      <c r="H63" s="573"/>
      <c r="I63" s="240"/>
      <c r="J63" s="573"/>
      <c r="K63" s="240"/>
    </row>
    <row r="64" spans="1:11" ht="15">
      <c r="A64" s="556"/>
      <c r="B64" s="237"/>
      <c r="C64"/>
      <c r="D64"/>
      <c r="E64" s="209"/>
      <c r="F64" s="240"/>
      <c r="G64" s="240"/>
      <c r="H64" s="573"/>
      <c r="I64" s="240"/>
      <c r="J64" s="573"/>
      <c r="K64" s="240"/>
    </row>
    <row r="65" spans="1:11" ht="15">
      <c r="A65" s="556"/>
      <c r="B65" s="237"/>
      <c r="C65"/>
      <c r="D65"/>
      <c r="E65" s="209"/>
      <c r="F65" s="240"/>
      <c r="G65" s="240"/>
      <c r="H65" s="573"/>
      <c r="I65" s="240"/>
      <c r="J65" s="573"/>
      <c r="K65" s="240"/>
    </row>
    <row r="66" spans="1:11">
      <c r="A66" s="737"/>
      <c r="B66" s="739"/>
      <c r="C66" s="737"/>
      <c r="D66" s="739"/>
      <c r="E66" s="737" t="s">
        <v>568</v>
      </c>
      <c r="F66" s="738"/>
      <c r="G66" s="739"/>
      <c r="H66" s="767" t="s">
        <v>553</v>
      </c>
      <c r="I66" s="738"/>
      <c r="J66" s="768"/>
      <c r="K66" s="739"/>
    </row>
    <row r="67" spans="1:11" s="225" customFormat="1" ht="14.45" customHeight="1">
      <c r="A67" s="742"/>
      <c r="B67" s="743"/>
      <c r="C67" s="742"/>
      <c r="D67" s="743"/>
      <c r="E67" s="769">
        <f>SUM($J$13:$J$65)</f>
        <v>8409.6</v>
      </c>
      <c r="F67" s="770"/>
      <c r="G67" s="771"/>
      <c r="H67" s="734">
        <f>SUM(J14:J65)</f>
        <v>8409.6</v>
      </c>
      <c r="I67" s="735"/>
      <c r="J67" s="735"/>
      <c r="K67" s="736"/>
    </row>
    <row r="68" spans="1:11">
      <c r="A68" s="737" t="s">
        <v>554</v>
      </c>
      <c r="B68" s="739"/>
      <c r="C68" s="226" t="s">
        <v>555</v>
      </c>
      <c r="D68" s="737" t="s">
        <v>556</v>
      </c>
      <c r="E68" s="739"/>
      <c r="F68" s="737" t="s">
        <v>557</v>
      </c>
      <c r="G68" s="739"/>
      <c r="H68" s="765" t="s">
        <v>558</v>
      </c>
      <c r="I68" s="731"/>
      <c r="J68" s="766"/>
      <c r="K68" s="733"/>
    </row>
    <row r="69" spans="1:11" ht="14.45" customHeight="1">
      <c r="A69" s="716" t="str">
        <f>A124</f>
        <v>CESS. CEE AR. 41 L 427</v>
      </c>
      <c r="B69" s="717"/>
      <c r="C69" s="720" t="str">
        <f>C124</f>
        <v>061</v>
      </c>
      <c r="D69" s="782">
        <f>H67</f>
        <v>8409.6</v>
      </c>
      <c r="E69" s="783"/>
      <c r="F69" s="726">
        <f>IF(C69="022",22%,0)</f>
        <v>0</v>
      </c>
      <c r="G69" s="727"/>
      <c r="H69" s="734">
        <f>H67</f>
        <v>8409.6</v>
      </c>
      <c r="I69" s="735"/>
      <c r="J69" s="735"/>
      <c r="K69" s="736"/>
    </row>
    <row r="70" spans="1:11">
      <c r="A70" s="716"/>
      <c r="B70" s="717"/>
      <c r="C70" s="772"/>
      <c r="D70" s="782"/>
      <c r="E70" s="783"/>
      <c r="F70" s="726"/>
      <c r="G70" s="727"/>
      <c r="H70" s="765" t="s">
        <v>559</v>
      </c>
      <c r="I70" s="731"/>
      <c r="J70" s="766"/>
      <c r="K70" s="733"/>
    </row>
    <row r="71" spans="1:11" ht="14.45" customHeight="1">
      <c r="A71" s="716"/>
      <c r="B71" s="717"/>
      <c r="C71" s="772"/>
      <c r="D71" s="782"/>
      <c r="E71" s="783"/>
      <c r="F71" s="726"/>
      <c r="G71" s="727"/>
      <c r="H71" s="734">
        <f>SEJ69*F69</f>
        <v>0</v>
      </c>
      <c r="I71" s="735"/>
      <c r="J71" s="735"/>
      <c r="K71" s="736"/>
    </row>
    <row r="72" spans="1:11">
      <c r="A72" s="716"/>
      <c r="B72" s="717"/>
      <c r="C72" s="772"/>
      <c r="D72" s="782"/>
      <c r="E72" s="783"/>
      <c r="F72" s="726"/>
      <c r="G72" s="727"/>
      <c r="H72" s="765" t="s">
        <v>560</v>
      </c>
      <c r="I72" s="731"/>
      <c r="J72" s="766"/>
      <c r="K72" s="733"/>
    </row>
    <row r="73" spans="1:11" ht="14.45" customHeight="1">
      <c r="A73" s="718"/>
      <c r="B73" s="719"/>
      <c r="C73" s="773"/>
      <c r="D73" s="784"/>
      <c r="E73" s="785"/>
      <c r="F73" s="728"/>
      <c r="G73" s="729"/>
      <c r="H73" s="734">
        <f>H67+H71</f>
        <v>8409.6</v>
      </c>
      <c r="I73" s="735"/>
      <c r="J73" s="735"/>
      <c r="K73" s="736"/>
    </row>
    <row r="74" spans="1:11">
      <c r="A74" s="241"/>
      <c r="B74" s="236" t="s">
        <v>552</v>
      </c>
      <c r="C74" s="229"/>
      <c r="D74" s="229"/>
      <c r="E74" s="230"/>
      <c r="F74" s="238"/>
      <c r="G74" s="239"/>
      <c r="H74" s="572"/>
      <c r="I74" s="239"/>
      <c r="J74" s="572"/>
      <c r="K74" s="239"/>
    </row>
    <row r="75" spans="1:11" ht="15">
      <c r="A75" s="556" t="str">
        <f t="array" ref="A75">IFERROR(INDEX(productsSku, SMALL(IF(productsQty&lt;&gt;0, ROW(productsQty)-ROW('BHPC MANAGER'!$CD$10)+1), ROW(L69))), "")</f>
        <v/>
      </c>
      <c r="B75" s="237" t="str">
        <f t="array" ref="B75">IFERROR(INDEX(productsDescription, SMALL(IF(productsQty&lt;&gt;0, ROW(productsQty)-ROW('BHPC MANAGER'!$CD$10)+1), ROW(L69))), "")</f>
        <v/>
      </c>
      <c r="C75"/>
      <c r="D75"/>
      <c r="E75" s="209"/>
      <c r="F75" s="240" t="str">
        <f t="shared" ref="F75:F110" si="6">IF(A75="","","PC")</f>
        <v/>
      </c>
      <c r="G75" s="240" t="str">
        <f t="array" ref="G75">IFERROR(INDEX(productsQty, SMALL(IF(productsQty&lt;&gt;0, ROW(productsQty)-ROW('BHPC MANAGER'!$CD$10)+1), ROW(L69))), "")</f>
        <v/>
      </c>
      <c r="H75" s="573" t="str">
        <f t="array" ref="H75">IFERROR(INDEX(productsSalePrice, SMALL(IF(productsQty&lt;&gt;0, ROW(productsQty)-ROW('BHPC MANAGER'!$CD$10)+1), ROW(L69))), "")</f>
        <v/>
      </c>
      <c r="I75" s="240" t="str">
        <f t="array" ref="I75">IFERROR(INDEX(productsCartons, SMALL(IF(productsQty&lt;&gt;0, ROW(productsQty)-ROW('BHPC MANAGER'!$CD$10)+1), ROW(L69))), "")</f>
        <v/>
      </c>
      <c r="J75" s="573" t="str">
        <f t="shared" ref="J75:J110" si="7">IF(A75="","",G75*H75)</f>
        <v/>
      </c>
      <c r="K75" s="240" t="str">
        <f t="shared" ref="K75:K110" si="8">IF(A75="","",$C$69)</f>
        <v/>
      </c>
    </row>
    <row r="76" spans="1:11" ht="15">
      <c r="A76" s="556" t="str">
        <f t="array" ref="A76">IFERROR(INDEX(productsSku, SMALL(IF(productsQty&lt;&gt;0, ROW(productsQty)-ROW('BHPC MANAGER'!$CD$10)+1), ROW(L70))), "")</f>
        <v/>
      </c>
      <c r="B76" s="237" t="str">
        <f t="array" ref="B76">IFERROR(INDEX(productsDescription, SMALL(IF(productsQty&lt;&gt;0, ROW(productsQty)-ROW('BHPC MANAGER'!$CD$10)+1), ROW(L70))), "")</f>
        <v/>
      </c>
      <c r="C76"/>
      <c r="D76"/>
      <c r="E76" s="209"/>
      <c r="F76" s="240" t="str">
        <f t="shared" si="6"/>
        <v/>
      </c>
      <c r="G76" s="240" t="str">
        <f t="array" ref="G76">IFERROR(INDEX(productsQty, SMALL(IF(productsQty&lt;&gt;0, ROW(productsQty)-ROW('BHPC MANAGER'!$CD$10)+1), ROW(L70))), "")</f>
        <v/>
      </c>
      <c r="H76" s="573" t="str">
        <f t="array" ref="H76">IFERROR(INDEX(productsSalePrice, SMALL(IF(productsQty&lt;&gt;0, ROW(productsQty)-ROW('BHPC MANAGER'!$CD$10)+1), ROW(L70))), "")</f>
        <v/>
      </c>
      <c r="I76" s="240" t="str">
        <f t="array" ref="I76">IFERROR(INDEX(productsCartons, SMALL(IF(productsQty&lt;&gt;0, ROW(productsQty)-ROW('BHPC MANAGER'!$CD$10)+1), ROW(L70))), "")</f>
        <v/>
      </c>
      <c r="J76" s="573" t="str">
        <f t="shared" si="7"/>
        <v/>
      </c>
      <c r="K76" s="240" t="str">
        <f t="shared" si="8"/>
        <v/>
      </c>
    </row>
    <row r="77" spans="1:11" ht="15">
      <c r="A77" s="556" t="str">
        <f t="array" ref="A77">IFERROR(INDEX(productsSku, SMALL(IF(productsQty&lt;&gt;0, ROW(productsQty)-ROW('BHPC MANAGER'!$CD$10)+1), ROW(L71))), "")</f>
        <v/>
      </c>
      <c r="B77" s="237" t="str">
        <f t="array" ref="B77">IFERROR(INDEX(productsDescription, SMALL(IF(productsQty&lt;&gt;0, ROW(productsQty)-ROW('BHPC MANAGER'!$CD$10)+1), ROW(L71))), "")</f>
        <v/>
      </c>
      <c r="C77"/>
      <c r="D77"/>
      <c r="E77" s="209"/>
      <c r="F77" s="240" t="str">
        <f t="shared" si="6"/>
        <v/>
      </c>
      <c r="G77" s="240" t="str">
        <f t="array" ref="G77">IFERROR(INDEX(productsQty, SMALL(IF(productsQty&lt;&gt;0, ROW(productsQty)-ROW('BHPC MANAGER'!$CD$10)+1), ROW(L71))), "")</f>
        <v/>
      </c>
      <c r="H77" s="573" t="str">
        <f t="array" ref="H77">IFERROR(INDEX(productsSalePrice, SMALL(IF(productsQty&lt;&gt;0, ROW(productsQty)-ROW('BHPC MANAGER'!$CD$10)+1), ROW(L71))), "")</f>
        <v/>
      </c>
      <c r="I77" s="240" t="str">
        <f t="array" ref="I77">IFERROR(INDEX(productsCartons, SMALL(IF(productsQty&lt;&gt;0, ROW(productsQty)-ROW('BHPC MANAGER'!$CD$10)+1), ROW(L71))), "")</f>
        <v/>
      </c>
      <c r="J77" s="573" t="str">
        <f t="shared" si="7"/>
        <v/>
      </c>
      <c r="K77" s="240" t="str">
        <f t="shared" si="8"/>
        <v/>
      </c>
    </row>
    <row r="78" spans="1:11" ht="15">
      <c r="A78" s="556" t="str">
        <f t="array" ref="A78">IFERROR(INDEX(productsSku, SMALL(IF(productsQty&lt;&gt;0, ROW(productsQty)-ROW('BHPC MANAGER'!$CD$10)+1), ROW(L72))), "")</f>
        <v/>
      </c>
      <c r="B78" s="237" t="str">
        <f t="array" ref="B78">IFERROR(INDEX(productsDescription, SMALL(IF(productsQty&lt;&gt;0, ROW(productsQty)-ROW('BHPC MANAGER'!$CD$10)+1), ROW(L72))), "")</f>
        <v/>
      </c>
      <c r="C78"/>
      <c r="D78"/>
      <c r="E78" s="209"/>
      <c r="F78" s="240" t="str">
        <f t="shared" si="6"/>
        <v/>
      </c>
      <c r="G78" s="240" t="str">
        <f t="array" ref="G78">IFERROR(INDEX(productsQty, SMALL(IF(productsQty&lt;&gt;0, ROW(productsQty)-ROW('BHPC MANAGER'!$CD$10)+1), ROW(L72))), "")</f>
        <v/>
      </c>
      <c r="H78" s="573" t="str">
        <f t="array" ref="H78">IFERROR(INDEX(productsSalePrice, SMALL(IF(productsQty&lt;&gt;0, ROW(productsQty)-ROW('BHPC MANAGER'!$CD$10)+1), ROW(L72))), "")</f>
        <v/>
      </c>
      <c r="I78" s="240" t="str">
        <f t="array" ref="I78">IFERROR(INDEX(productsCartons, SMALL(IF(productsQty&lt;&gt;0, ROW(productsQty)-ROW('BHPC MANAGER'!$CD$10)+1), ROW(L72))), "")</f>
        <v/>
      </c>
      <c r="J78" s="573" t="str">
        <f t="shared" si="7"/>
        <v/>
      </c>
      <c r="K78" s="240" t="str">
        <f t="shared" si="8"/>
        <v/>
      </c>
    </row>
    <row r="79" spans="1:11" ht="15">
      <c r="A79" s="556" t="str">
        <f t="array" ref="A79">IFERROR(INDEX(productsSku, SMALL(IF(productsQty&lt;&gt;0, ROW(productsQty)-ROW('BHPC MANAGER'!$CD$10)+1), ROW(L73))), "")</f>
        <v/>
      </c>
      <c r="B79" s="237" t="str">
        <f t="array" ref="B79">IFERROR(INDEX(productsDescription, SMALL(IF(productsQty&lt;&gt;0, ROW(productsQty)-ROW('BHPC MANAGER'!$CD$10)+1), ROW(L73))), "")</f>
        <v/>
      </c>
      <c r="C79"/>
      <c r="D79"/>
      <c r="E79" s="209"/>
      <c r="F79" s="240" t="str">
        <f t="shared" si="6"/>
        <v/>
      </c>
      <c r="G79" s="240" t="str">
        <f t="array" ref="G79">IFERROR(INDEX(productsQty, SMALL(IF(productsQty&lt;&gt;0, ROW(productsQty)-ROW('BHPC MANAGER'!$CD$10)+1), ROW(L73))), "")</f>
        <v/>
      </c>
      <c r="H79" s="573" t="str">
        <f t="array" ref="H79">IFERROR(INDEX(productsSalePrice, SMALL(IF(productsQty&lt;&gt;0, ROW(productsQty)-ROW('BHPC MANAGER'!$CD$10)+1), ROW(L73))), "")</f>
        <v/>
      </c>
      <c r="I79" s="240" t="str">
        <f t="array" ref="I79">IFERROR(INDEX(productsCartons, SMALL(IF(productsQty&lt;&gt;0, ROW(productsQty)-ROW('BHPC MANAGER'!$CD$10)+1), ROW(L73))), "")</f>
        <v/>
      </c>
      <c r="J79" s="573" t="str">
        <f t="shared" si="7"/>
        <v/>
      </c>
      <c r="K79" s="240" t="str">
        <f t="shared" si="8"/>
        <v/>
      </c>
    </row>
    <row r="80" spans="1:11" ht="15">
      <c r="A80" s="556" t="str">
        <f t="array" ref="A80">IFERROR(INDEX(productsSku, SMALL(IF(productsQty&lt;&gt;0, ROW(productsQty)-ROW('BHPC MANAGER'!$CD$10)+1), ROW(#REF!))), "")</f>
        <v/>
      </c>
      <c r="B80" s="237" t="str">
        <f t="array" ref="B80">IFERROR(INDEX(productsDescription, SMALL(IF(productsQty&lt;&gt;0, ROW(productsQty)-ROW('BHPC MANAGER'!$CD$10)+1), ROW(#REF!))), "")</f>
        <v/>
      </c>
      <c r="C80"/>
      <c r="D80"/>
      <c r="E80" s="209"/>
      <c r="F80" s="240" t="str">
        <f t="shared" si="6"/>
        <v/>
      </c>
      <c r="G80" s="240" t="str">
        <f t="array" ref="G80">IFERROR(INDEX(productsQty, SMALL(IF(productsQty&lt;&gt;0, ROW(productsQty)-ROW('BHPC MANAGER'!$CD$10)+1), ROW(#REF!))), "")</f>
        <v/>
      </c>
      <c r="H80" s="573" t="str">
        <f t="array" ref="H80">IFERROR(INDEX(productsSalePrice, SMALL(IF(productsQty&lt;&gt;0, ROW(productsQty)-ROW('BHPC MANAGER'!$CD$10)+1), ROW(#REF!))), "")</f>
        <v/>
      </c>
      <c r="I80" s="240" t="str">
        <f t="array" ref="I80">IFERROR(INDEX(productsCartons, SMALL(IF(productsQty&lt;&gt;0, ROW(productsQty)-ROW('BHPC MANAGER'!$CD$10)+1), ROW(#REF!))), "")</f>
        <v/>
      </c>
      <c r="J80" s="573" t="str">
        <f t="shared" si="7"/>
        <v/>
      </c>
      <c r="K80" s="240" t="str">
        <f t="shared" si="8"/>
        <v/>
      </c>
    </row>
    <row r="81" spans="1:11" ht="15">
      <c r="A81" s="556" t="str">
        <f t="array" ref="A81">IFERROR(INDEX(productsSku, SMALL(IF(productsQty&lt;&gt;0, ROW(productsQty)-ROW('BHPC MANAGER'!$CD$10)+1), ROW(#REF!))), "")</f>
        <v/>
      </c>
      <c r="B81" s="237" t="str">
        <f t="array" ref="B81">IFERROR(INDEX(productsDescription, SMALL(IF(productsQty&lt;&gt;0, ROW(productsQty)-ROW('BHPC MANAGER'!$CD$10)+1), ROW(#REF!))), "")</f>
        <v/>
      </c>
      <c r="C81"/>
      <c r="D81"/>
      <c r="E81" s="209"/>
      <c r="F81" s="240" t="str">
        <f t="shared" si="6"/>
        <v/>
      </c>
      <c r="G81" s="240" t="str">
        <f t="array" ref="G81">IFERROR(INDEX(productsQty, SMALL(IF(productsQty&lt;&gt;0, ROW(productsQty)-ROW('BHPC MANAGER'!$CD$10)+1), ROW(#REF!))), "")</f>
        <v/>
      </c>
      <c r="H81" s="573" t="str">
        <f t="array" ref="H81">IFERROR(INDEX(productsSalePrice, SMALL(IF(productsQty&lt;&gt;0, ROW(productsQty)-ROW('BHPC MANAGER'!$CD$10)+1), ROW(#REF!))), "")</f>
        <v/>
      </c>
      <c r="I81" s="240" t="str">
        <f t="array" ref="I81">IFERROR(INDEX(productsCartons, SMALL(IF(productsQty&lt;&gt;0, ROW(productsQty)-ROW('BHPC MANAGER'!$CD$10)+1), ROW(#REF!))), "")</f>
        <v/>
      </c>
      <c r="J81" s="573" t="str">
        <f t="shared" si="7"/>
        <v/>
      </c>
      <c r="K81" s="240" t="str">
        <f t="shared" si="8"/>
        <v/>
      </c>
    </row>
    <row r="82" spans="1:11" ht="15">
      <c r="A82" s="556" t="str">
        <f t="array" ref="A82">IFERROR(INDEX(productsSku, SMALL(IF(productsQty&lt;&gt;0, ROW(productsQty)-ROW('BHPC MANAGER'!$CD$10)+1), ROW(#REF!))), "")</f>
        <v/>
      </c>
      <c r="B82" s="237" t="str">
        <f t="array" ref="B82">IFERROR(INDEX(productsDescription, SMALL(IF(productsQty&lt;&gt;0, ROW(productsQty)-ROW('BHPC MANAGER'!$CD$10)+1), ROW(#REF!))), "")</f>
        <v/>
      </c>
      <c r="C82"/>
      <c r="D82"/>
      <c r="E82" s="209"/>
      <c r="F82" s="240" t="str">
        <f t="shared" si="6"/>
        <v/>
      </c>
      <c r="G82" s="240" t="str">
        <f t="array" ref="G82">IFERROR(INDEX(productsQty, SMALL(IF(productsQty&lt;&gt;0, ROW(productsQty)-ROW('BHPC MANAGER'!$CD$10)+1), ROW(#REF!))), "")</f>
        <v/>
      </c>
      <c r="H82" s="573" t="str">
        <f t="array" ref="H82">IFERROR(INDEX(productsSalePrice, SMALL(IF(productsQty&lt;&gt;0, ROW(productsQty)-ROW('BHPC MANAGER'!$CD$10)+1), ROW(#REF!))), "")</f>
        <v/>
      </c>
      <c r="I82" s="240" t="str">
        <f t="array" ref="I82">IFERROR(INDEX(productsCartons, SMALL(IF(productsQty&lt;&gt;0, ROW(productsQty)-ROW('BHPC MANAGER'!$CD$10)+1), ROW(#REF!))), "")</f>
        <v/>
      </c>
      <c r="J82" s="573" t="str">
        <f t="shared" si="7"/>
        <v/>
      </c>
      <c r="K82" s="240" t="str">
        <f t="shared" si="8"/>
        <v/>
      </c>
    </row>
    <row r="83" spans="1:11" ht="15">
      <c r="A83" s="556" t="str">
        <f t="array" ref="A83">IFERROR(INDEX(productsSku, SMALL(IF(productsQty&lt;&gt;0, ROW(productsQty)-ROW('BHPC MANAGER'!$CD$10)+1), ROW(#REF!))), "")</f>
        <v/>
      </c>
      <c r="B83" s="237" t="str">
        <f t="array" ref="B83">IFERROR(INDEX(productsDescription, SMALL(IF(productsQty&lt;&gt;0, ROW(productsQty)-ROW('BHPC MANAGER'!$CD$10)+1), ROW(#REF!))), "")</f>
        <v/>
      </c>
      <c r="C83"/>
      <c r="D83"/>
      <c r="E83" s="209"/>
      <c r="F83" s="240" t="str">
        <f t="shared" si="6"/>
        <v/>
      </c>
      <c r="G83" s="240" t="str">
        <f t="array" ref="G83">IFERROR(INDEX(productsQty, SMALL(IF(productsQty&lt;&gt;0, ROW(productsQty)-ROW('BHPC MANAGER'!$CD$10)+1), ROW(#REF!))), "")</f>
        <v/>
      </c>
      <c r="H83" s="573" t="str">
        <f t="array" ref="H83">IFERROR(INDEX(productsSalePrice, SMALL(IF(productsQty&lt;&gt;0, ROW(productsQty)-ROW('BHPC MANAGER'!$CD$10)+1), ROW(#REF!))), "")</f>
        <v/>
      </c>
      <c r="I83" s="240" t="str">
        <f t="array" ref="I83">IFERROR(INDEX(productsCartons, SMALL(IF(productsQty&lt;&gt;0, ROW(productsQty)-ROW('BHPC MANAGER'!$CD$10)+1), ROW(#REF!))), "")</f>
        <v/>
      </c>
      <c r="J83" s="573" t="str">
        <f t="shared" si="7"/>
        <v/>
      </c>
      <c r="K83" s="240" t="str">
        <f t="shared" si="8"/>
        <v/>
      </c>
    </row>
    <row r="84" spans="1:11" ht="15">
      <c r="A84" s="556" t="str">
        <f t="array" ref="A84">IFERROR(INDEX(productsSku, SMALL(IF(productsQty&lt;&gt;0, ROW(productsQty)-ROW('BHPC MANAGER'!$CD$10)+1), ROW(#REF!))), "")</f>
        <v/>
      </c>
      <c r="B84" s="237" t="str">
        <f t="array" ref="B84">IFERROR(INDEX(productsDescription, SMALL(IF(productsQty&lt;&gt;0, ROW(productsQty)-ROW('BHPC MANAGER'!$CD$10)+1), ROW(#REF!))), "")</f>
        <v/>
      </c>
      <c r="C84"/>
      <c r="D84"/>
      <c r="E84" s="209"/>
      <c r="F84" s="240" t="str">
        <f t="shared" si="6"/>
        <v/>
      </c>
      <c r="G84" s="240" t="str">
        <f t="array" ref="G84">IFERROR(INDEX(productsQty, SMALL(IF(productsQty&lt;&gt;0, ROW(productsQty)-ROW('BHPC MANAGER'!$CD$10)+1), ROW(#REF!))), "")</f>
        <v/>
      </c>
      <c r="H84" s="573" t="str">
        <f t="array" ref="H84">IFERROR(INDEX(productsSalePrice, SMALL(IF(productsQty&lt;&gt;0, ROW(productsQty)-ROW('BHPC MANAGER'!$CD$10)+1), ROW(#REF!))), "")</f>
        <v/>
      </c>
      <c r="I84" s="240" t="str">
        <f t="array" ref="I84">IFERROR(INDEX(productsCartons, SMALL(IF(productsQty&lt;&gt;0, ROW(productsQty)-ROW('BHPC MANAGER'!$CD$10)+1), ROW(#REF!))), "")</f>
        <v/>
      </c>
      <c r="J84" s="573" t="str">
        <f t="shared" si="7"/>
        <v/>
      </c>
      <c r="K84" s="240" t="str">
        <f t="shared" si="8"/>
        <v/>
      </c>
    </row>
    <row r="85" spans="1:11" ht="15">
      <c r="A85" s="556" t="str">
        <f t="array" ref="A85">IFERROR(INDEX(productsSku, SMALL(IF(productsQty&lt;&gt;0, ROW(productsQty)-ROW('BHPC MANAGER'!$CD$10)+1), ROW(#REF!))), "")</f>
        <v/>
      </c>
      <c r="B85" s="237" t="str">
        <f t="array" ref="B85">IFERROR(INDEX(productsDescription, SMALL(IF(productsQty&lt;&gt;0, ROW(productsQty)-ROW('BHPC MANAGER'!$CD$10)+1), ROW(#REF!))), "")</f>
        <v/>
      </c>
      <c r="C85"/>
      <c r="D85"/>
      <c r="E85" s="209"/>
      <c r="F85" s="240" t="str">
        <f t="shared" si="6"/>
        <v/>
      </c>
      <c r="G85" s="240" t="str">
        <f t="array" ref="G85">IFERROR(INDEX(productsQty, SMALL(IF(productsQty&lt;&gt;0, ROW(productsQty)-ROW('BHPC MANAGER'!$CD$10)+1), ROW(#REF!))), "")</f>
        <v/>
      </c>
      <c r="H85" s="573" t="str">
        <f t="array" ref="H85">IFERROR(INDEX(productsSalePrice, SMALL(IF(productsQty&lt;&gt;0, ROW(productsQty)-ROW('BHPC MANAGER'!$CD$10)+1), ROW(#REF!))), "")</f>
        <v/>
      </c>
      <c r="I85" s="240" t="str">
        <f t="array" ref="I85">IFERROR(INDEX(productsCartons, SMALL(IF(productsQty&lt;&gt;0, ROW(productsQty)-ROW('BHPC MANAGER'!$CD$10)+1), ROW(#REF!))), "")</f>
        <v/>
      </c>
      <c r="J85" s="573" t="str">
        <f t="shared" si="7"/>
        <v/>
      </c>
      <c r="K85" s="240" t="str">
        <f t="shared" si="8"/>
        <v/>
      </c>
    </row>
    <row r="86" spans="1:11" ht="15">
      <c r="A86" s="556" t="str">
        <f t="array" ref="A86">IFERROR(INDEX(productsSku, SMALL(IF(productsQty&lt;&gt;0, ROW(productsQty)-ROW('BHPC MANAGER'!$CD$10)+1), ROW(#REF!))), "")</f>
        <v/>
      </c>
      <c r="B86" s="237" t="str">
        <f t="array" ref="B86">IFERROR(INDEX(productsDescription, SMALL(IF(productsQty&lt;&gt;0, ROW(productsQty)-ROW('BHPC MANAGER'!$CD$10)+1), ROW(#REF!))), "")</f>
        <v/>
      </c>
      <c r="C86"/>
      <c r="D86"/>
      <c r="E86" s="209"/>
      <c r="F86" s="240" t="str">
        <f t="shared" si="6"/>
        <v/>
      </c>
      <c r="G86" s="240" t="str">
        <f t="array" ref="G86">IFERROR(INDEX(productsQty, SMALL(IF(productsQty&lt;&gt;0, ROW(productsQty)-ROW('BHPC MANAGER'!$CD$10)+1), ROW(#REF!))), "")</f>
        <v/>
      </c>
      <c r="H86" s="573" t="str">
        <f t="array" ref="H86">IFERROR(INDEX(productsSalePrice, SMALL(IF(productsQty&lt;&gt;0, ROW(productsQty)-ROW('BHPC MANAGER'!$CD$10)+1), ROW(#REF!))), "")</f>
        <v/>
      </c>
      <c r="I86" s="240" t="str">
        <f t="array" ref="I86">IFERROR(INDEX(productsCartons, SMALL(IF(productsQty&lt;&gt;0, ROW(productsQty)-ROW('BHPC MANAGER'!$CD$10)+1), ROW(#REF!))), "")</f>
        <v/>
      </c>
      <c r="J86" s="573" t="str">
        <f t="shared" si="7"/>
        <v/>
      </c>
      <c r="K86" s="240" t="str">
        <f t="shared" si="8"/>
        <v/>
      </c>
    </row>
    <row r="87" spans="1:11" ht="15">
      <c r="A87" s="556" t="str">
        <f t="array" ref="A87">IFERROR(INDEX(productsSku, SMALL(IF(productsQty&lt;&gt;0, ROW(productsQty)-ROW('BHPC MANAGER'!$CD$10)+1), ROW(L74))), "")</f>
        <v/>
      </c>
      <c r="B87" s="237" t="str">
        <f t="array" ref="B87">IFERROR(INDEX(productsDescription, SMALL(IF(productsQty&lt;&gt;0, ROW(productsQty)-ROW('BHPC MANAGER'!$CD$10)+1), ROW(L74))), "")</f>
        <v/>
      </c>
      <c r="C87"/>
      <c r="D87"/>
      <c r="E87" s="209"/>
      <c r="F87" s="240" t="str">
        <f t="shared" si="6"/>
        <v/>
      </c>
      <c r="G87" s="240" t="str">
        <f t="array" ref="G87">IFERROR(INDEX(productsQty, SMALL(IF(productsQty&lt;&gt;0, ROW(productsQty)-ROW('BHPC MANAGER'!$CD$10)+1), ROW(L74))), "")</f>
        <v/>
      </c>
      <c r="H87" s="573" t="str">
        <f t="array" ref="H87">IFERROR(INDEX(productsSalePrice, SMALL(IF(productsQty&lt;&gt;0, ROW(productsQty)-ROW('BHPC MANAGER'!$CD$10)+1), ROW(L74))), "")</f>
        <v/>
      </c>
      <c r="I87" s="240" t="str">
        <f t="array" ref="I87">IFERROR(INDEX(productsCartons, SMALL(IF(productsQty&lt;&gt;0, ROW(productsQty)-ROW('BHPC MANAGER'!$CD$10)+1), ROW(L74))), "")</f>
        <v/>
      </c>
      <c r="J87" s="573" t="str">
        <f t="shared" si="7"/>
        <v/>
      </c>
      <c r="K87" s="240" t="str">
        <f t="shared" si="8"/>
        <v/>
      </c>
    </row>
    <row r="88" spans="1:11" ht="15">
      <c r="A88" s="556" t="str">
        <f t="array" ref="A88">IFERROR(INDEX(productsSku, SMALL(IF(productsQty&lt;&gt;0, ROW(productsQty)-ROW('BHPC MANAGER'!$CD$10)+1), ROW(L75))), "")</f>
        <v/>
      </c>
      <c r="B88" s="237" t="str">
        <f t="array" ref="B88">IFERROR(INDEX(productsDescription, SMALL(IF(productsQty&lt;&gt;0, ROW(productsQty)-ROW('BHPC MANAGER'!$CD$10)+1), ROW(L75))), "")</f>
        <v/>
      </c>
      <c r="C88"/>
      <c r="D88"/>
      <c r="E88" s="209"/>
      <c r="F88" s="240" t="str">
        <f t="shared" si="6"/>
        <v/>
      </c>
      <c r="G88" s="240" t="str">
        <f t="array" ref="G88">IFERROR(INDEX(productsQty, SMALL(IF(productsQty&lt;&gt;0, ROW(productsQty)-ROW('BHPC MANAGER'!$CD$10)+1), ROW(L75))), "")</f>
        <v/>
      </c>
      <c r="H88" s="573" t="str">
        <f t="array" ref="H88">IFERROR(INDEX(productsSalePrice, SMALL(IF(productsQty&lt;&gt;0, ROW(productsQty)-ROW('BHPC MANAGER'!$CD$10)+1), ROW(L75))), "")</f>
        <v/>
      </c>
      <c r="I88" s="240" t="str">
        <f t="array" ref="I88">IFERROR(INDEX(productsCartons, SMALL(IF(productsQty&lt;&gt;0, ROW(productsQty)-ROW('BHPC MANAGER'!$CD$10)+1), ROW(L75))), "")</f>
        <v/>
      </c>
      <c r="J88" s="573" t="str">
        <f t="shared" si="7"/>
        <v/>
      </c>
      <c r="K88" s="240" t="str">
        <f t="shared" si="8"/>
        <v/>
      </c>
    </row>
    <row r="89" spans="1:11" ht="15">
      <c r="A89" s="556" t="str">
        <f t="array" ref="A89">IFERROR(INDEX(productsSku, SMALL(IF(productsQty&lt;&gt;0, ROW(productsQty)-ROW('BHPC MANAGER'!$CD$10)+1), ROW(L76))), "")</f>
        <v/>
      </c>
      <c r="B89" s="237" t="str">
        <f t="array" ref="B89">IFERROR(INDEX(productsDescription, SMALL(IF(productsQty&lt;&gt;0, ROW(productsQty)-ROW('BHPC MANAGER'!$CD$10)+1), ROW(L76))), "")</f>
        <v/>
      </c>
      <c r="C89"/>
      <c r="D89"/>
      <c r="E89" s="209"/>
      <c r="F89" s="240" t="str">
        <f t="shared" si="6"/>
        <v/>
      </c>
      <c r="G89" s="240" t="str">
        <f t="array" ref="G89">IFERROR(INDEX(productsQty, SMALL(IF(productsQty&lt;&gt;0, ROW(productsQty)-ROW('BHPC MANAGER'!$CD$10)+1), ROW(L76))), "")</f>
        <v/>
      </c>
      <c r="H89" s="573" t="str">
        <f t="array" ref="H89">IFERROR(INDEX(productsSalePrice, SMALL(IF(productsQty&lt;&gt;0, ROW(productsQty)-ROW('BHPC MANAGER'!$CD$10)+1), ROW(L76))), "")</f>
        <v/>
      </c>
      <c r="I89" s="240" t="str">
        <f t="array" ref="I89">IFERROR(INDEX(productsCartons, SMALL(IF(productsQty&lt;&gt;0, ROW(productsQty)-ROW('BHPC MANAGER'!$CD$10)+1), ROW(L76))), "")</f>
        <v/>
      </c>
      <c r="J89" s="573" t="str">
        <f t="shared" si="7"/>
        <v/>
      </c>
      <c r="K89" s="240" t="str">
        <f t="shared" si="8"/>
        <v/>
      </c>
    </row>
    <row r="90" spans="1:11" ht="15">
      <c r="A90" s="556" t="str">
        <f t="array" ref="A90">IFERROR(INDEX(productsSku, SMALL(IF(productsQty&lt;&gt;0, ROW(productsQty)-ROW('BHPC MANAGER'!$CD$10)+1), ROW(L77))), "")</f>
        <v/>
      </c>
      <c r="B90" s="237" t="str">
        <f t="array" ref="B90">IFERROR(INDEX(productsDescription, SMALL(IF(productsQty&lt;&gt;0, ROW(productsQty)-ROW('BHPC MANAGER'!$CD$10)+1), ROW(L77))), "")</f>
        <v/>
      </c>
      <c r="C90"/>
      <c r="D90"/>
      <c r="E90" s="209"/>
      <c r="F90" s="240" t="str">
        <f t="shared" si="6"/>
        <v/>
      </c>
      <c r="G90" s="240" t="str">
        <f t="array" ref="G90">IFERROR(INDEX(productsQty, SMALL(IF(productsQty&lt;&gt;0, ROW(productsQty)-ROW('BHPC MANAGER'!$CD$10)+1), ROW(L77))), "")</f>
        <v/>
      </c>
      <c r="H90" s="573" t="str">
        <f t="array" ref="H90">IFERROR(INDEX(productsSalePrice, SMALL(IF(productsQty&lt;&gt;0, ROW(productsQty)-ROW('BHPC MANAGER'!$CD$10)+1), ROW(L77))), "")</f>
        <v/>
      </c>
      <c r="I90" s="240" t="str">
        <f t="array" ref="I90">IFERROR(INDEX(productsCartons, SMALL(IF(productsQty&lt;&gt;0, ROW(productsQty)-ROW('BHPC MANAGER'!$CD$10)+1), ROW(L77))), "")</f>
        <v/>
      </c>
      <c r="J90" s="573" t="str">
        <f t="shared" si="7"/>
        <v/>
      </c>
      <c r="K90" s="240" t="str">
        <f t="shared" si="8"/>
        <v/>
      </c>
    </row>
    <row r="91" spans="1:11" ht="15">
      <c r="A91" s="556" t="str">
        <f t="array" ref="A91">IFERROR(INDEX(productsSku, SMALL(IF(productsQty&lt;&gt;0, ROW(productsQty)-ROW('BHPC MANAGER'!$CD$10)+1), ROW(L78))), "")</f>
        <v/>
      </c>
      <c r="B91" s="237" t="str">
        <f t="array" ref="B91">IFERROR(INDEX(productsDescription, SMALL(IF(productsQty&lt;&gt;0, ROW(productsQty)-ROW('BHPC MANAGER'!$CD$10)+1), ROW(L78))), "")</f>
        <v/>
      </c>
      <c r="C91"/>
      <c r="D91"/>
      <c r="E91" s="209"/>
      <c r="F91" s="240" t="str">
        <f t="shared" si="6"/>
        <v/>
      </c>
      <c r="G91" s="240" t="str">
        <f t="array" ref="G91">IFERROR(INDEX(productsQty, SMALL(IF(productsQty&lt;&gt;0, ROW(productsQty)-ROW('BHPC MANAGER'!$CD$10)+1), ROW(L78))), "")</f>
        <v/>
      </c>
      <c r="H91" s="573" t="str">
        <f t="array" ref="H91">IFERROR(INDEX(productsSalePrice, SMALL(IF(productsQty&lt;&gt;0, ROW(productsQty)-ROW('BHPC MANAGER'!$CD$10)+1), ROW(L78))), "")</f>
        <v/>
      </c>
      <c r="I91" s="240" t="str">
        <f t="array" ref="I91">IFERROR(INDEX(productsCartons, SMALL(IF(productsQty&lt;&gt;0, ROW(productsQty)-ROW('BHPC MANAGER'!$CD$10)+1), ROW(L78))), "")</f>
        <v/>
      </c>
      <c r="J91" s="573" t="str">
        <f t="shared" si="7"/>
        <v/>
      </c>
      <c r="K91" s="240" t="str">
        <f t="shared" si="8"/>
        <v/>
      </c>
    </row>
    <row r="92" spans="1:11" ht="15">
      <c r="A92" s="556" t="str">
        <f t="array" ref="A92">IFERROR(INDEX(productsSku, SMALL(IF(productsQty&lt;&gt;0, ROW(productsQty)-ROW('BHPC MANAGER'!$CD$10)+1), ROW(L79))), "")</f>
        <v/>
      </c>
      <c r="B92" s="237" t="str">
        <f t="array" ref="B92">IFERROR(INDEX(productsDescription, SMALL(IF(productsQty&lt;&gt;0, ROW(productsQty)-ROW('BHPC MANAGER'!$CD$10)+1), ROW(L79))), "")</f>
        <v/>
      </c>
      <c r="C92"/>
      <c r="D92"/>
      <c r="E92" s="209"/>
      <c r="F92" s="240" t="str">
        <f t="shared" si="6"/>
        <v/>
      </c>
      <c r="G92" s="240" t="str">
        <f t="array" ref="G92">IFERROR(INDEX(productsQty, SMALL(IF(productsQty&lt;&gt;0, ROW(productsQty)-ROW('BHPC MANAGER'!$CD$10)+1), ROW(L79))), "")</f>
        <v/>
      </c>
      <c r="H92" s="573" t="str">
        <f t="array" ref="H92">IFERROR(INDEX(productsSalePrice, SMALL(IF(productsQty&lt;&gt;0, ROW(productsQty)-ROW('BHPC MANAGER'!$CD$10)+1), ROW(L79))), "")</f>
        <v/>
      </c>
      <c r="I92" s="240" t="str">
        <f t="array" ref="I92">IFERROR(INDEX(productsCartons, SMALL(IF(productsQty&lt;&gt;0, ROW(productsQty)-ROW('BHPC MANAGER'!$CD$10)+1), ROW(L79))), "")</f>
        <v/>
      </c>
      <c r="J92" s="573" t="str">
        <f t="shared" si="7"/>
        <v/>
      </c>
      <c r="K92" s="240" t="str">
        <f t="shared" si="8"/>
        <v/>
      </c>
    </row>
    <row r="93" spans="1:11" ht="15">
      <c r="A93" s="556" t="str">
        <f t="array" ref="A93">IFERROR(INDEX(productsSku, SMALL(IF(productsQty&lt;&gt;0, ROW(productsQty)-ROW('BHPC MANAGER'!$CD$10)+1), ROW(L80))), "")</f>
        <v/>
      </c>
      <c r="B93" s="237" t="str">
        <f t="array" ref="B93">IFERROR(INDEX(productsDescription, SMALL(IF(productsQty&lt;&gt;0, ROW(productsQty)-ROW('BHPC MANAGER'!$CD$10)+1), ROW(L80))), "")</f>
        <v/>
      </c>
      <c r="C93"/>
      <c r="D93"/>
      <c r="E93" s="209"/>
      <c r="F93" s="240" t="str">
        <f t="shared" si="6"/>
        <v/>
      </c>
      <c r="G93" s="240" t="str">
        <f t="array" ref="G93">IFERROR(INDEX(productsQty, SMALL(IF(productsQty&lt;&gt;0, ROW(productsQty)-ROW('BHPC MANAGER'!$CD$10)+1), ROW(L80))), "")</f>
        <v/>
      </c>
      <c r="H93" s="573" t="str">
        <f t="array" ref="H93">IFERROR(INDEX(productsSalePrice, SMALL(IF(productsQty&lt;&gt;0, ROW(productsQty)-ROW('BHPC MANAGER'!$CD$10)+1), ROW(L80))), "")</f>
        <v/>
      </c>
      <c r="I93" s="240" t="str">
        <f t="array" ref="I93">IFERROR(INDEX(productsCartons, SMALL(IF(productsQty&lt;&gt;0, ROW(productsQty)-ROW('BHPC MANAGER'!$CD$10)+1), ROW(L80))), "")</f>
        <v/>
      </c>
      <c r="J93" s="573" t="str">
        <f t="shared" si="7"/>
        <v/>
      </c>
      <c r="K93" s="240" t="str">
        <f t="shared" si="8"/>
        <v/>
      </c>
    </row>
    <row r="94" spans="1:11" ht="15">
      <c r="A94" s="556" t="str">
        <f t="array" ref="A94">IFERROR(INDEX(productsSku, SMALL(IF(productsQty&lt;&gt;0, ROW(productsQty)-ROW('BHPC MANAGER'!$CD$10)+1), ROW(L81))), "")</f>
        <v/>
      </c>
      <c r="B94" s="237" t="str">
        <f t="array" ref="B94">IFERROR(INDEX(productsDescription, SMALL(IF(productsQty&lt;&gt;0, ROW(productsQty)-ROW('BHPC MANAGER'!$CD$10)+1), ROW(L81))), "")</f>
        <v/>
      </c>
      <c r="C94"/>
      <c r="D94"/>
      <c r="E94" s="209"/>
      <c r="F94" s="240" t="str">
        <f t="shared" si="6"/>
        <v/>
      </c>
      <c r="G94" s="240" t="str">
        <f t="array" ref="G94">IFERROR(INDEX(productsQty, SMALL(IF(productsQty&lt;&gt;0, ROW(productsQty)-ROW('BHPC MANAGER'!$CD$10)+1), ROW(L81))), "")</f>
        <v/>
      </c>
      <c r="H94" s="573" t="str">
        <f t="array" ref="H94">IFERROR(INDEX(productsSalePrice, SMALL(IF(productsQty&lt;&gt;0, ROW(productsQty)-ROW('BHPC MANAGER'!$CD$10)+1), ROW(L81))), "")</f>
        <v/>
      </c>
      <c r="I94" s="240" t="str">
        <f t="array" ref="I94">IFERROR(INDEX(productsCartons, SMALL(IF(productsQty&lt;&gt;0, ROW(productsQty)-ROW('BHPC MANAGER'!$CD$10)+1), ROW(L81))), "")</f>
        <v/>
      </c>
      <c r="J94" s="573" t="str">
        <f t="shared" si="7"/>
        <v/>
      </c>
      <c r="K94" s="240" t="str">
        <f t="shared" si="8"/>
        <v/>
      </c>
    </row>
    <row r="95" spans="1:11" ht="15">
      <c r="A95" s="556" t="str">
        <f t="array" ref="A95">IFERROR(INDEX(productsSku, SMALL(IF(productsQty&lt;&gt;0, ROW(productsQty)-ROW('BHPC MANAGER'!$CD$10)+1), ROW(L82))), "")</f>
        <v/>
      </c>
      <c r="B95" s="237" t="str">
        <f t="array" ref="B95">IFERROR(INDEX(productsDescription, SMALL(IF(productsQty&lt;&gt;0, ROW(productsQty)-ROW('BHPC MANAGER'!$CD$10)+1), ROW(L82))), "")</f>
        <v/>
      </c>
      <c r="C95"/>
      <c r="D95"/>
      <c r="E95" s="209"/>
      <c r="F95" s="240" t="str">
        <f t="shared" si="6"/>
        <v/>
      </c>
      <c r="G95" s="240" t="str">
        <f t="array" ref="G95">IFERROR(INDEX(productsQty, SMALL(IF(productsQty&lt;&gt;0, ROW(productsQty)-ROW('BHPC MANAGER'!$CD$10)+1), ROW(L82))), "")</f>
        <v/>
      </c>
      <c r="H95" s="573" t="str">
        <f t="array" ref="H95">IFERROR(INDEX(productsSalePrice, SMALL(IF(productsQty&lt;&gt;0, ROW(productsQty)-ROW('BHPC MANAGER'!$CD$10)+1), ROW(L82))), "")</f>
        <v/>
      </c>
      <c r="I95" s="240" t="str">
        <f t="array" ref="I95">IFERROR(INDEX(productsCartons, SMALL(IF(productsQty&lt;&gt;0, ROW(productsQty)-ROW('BHPC MANAGER'!$CD$10)+1), ROW(L82))), "")</f>
        <v/>
      </c>
      <c r="J95" s="573" t="str">
        <f t="shared" si="7"/>
        <v/>
      </c>
      <c r="K95" s="240" t="str">
        <f t="shared" si="8"/>
        <v/>
      </c>
    </row>
    <row r="96" spans="1:11" ht="15">
      <c r="A96" s="556" t="str">
        <f t="array" ref="A96">IFERROR(INDEX(productsSku, SMALL(IF(productsQty&lt;&gt;0, ROW(productsQty)-ROW('BHPC MANAGER'!$CD$10)+1), ROW(L83))), "")</f>
        <v/>
      </c>
      <c r="B96" s="237" t="str">
        <f t="array" ref="B96">IFERROR(INDEX(productsDescription, SMALL(IF(productsQty&lt;&gt;0, ROW(productsQty)-ROW('BHPC MANAGER'!$CD$10)+1), ROW(L83))), "")</f>
        <v/>
      </c>
      <c r="C96"/>
      <c r="D96"/>
      <c r="E96" s="209"/>
      <c r="F96" s="240" t="str">
        <f t="shared" si="6"/>
        <v/>
      </c>
      <c r="G96" s="240" t="str">
        <f t="array" ref="G96">IFERROR(INDEX(productsQty, SMALL(IF(productsQty&lt;&gt;0, ROW(productsQty)-ROW('BHPC MANAGER'!$CD$10)+1), ROW(L83))), "")</f>
        <v/>
      </c>
      <c r="H96" s="573" t="str">
        <f t="array" ref="H96">IFERROR(INDEX(productsSalePrice, SMALL(IF(productsQty&lt;&gt;0, ROW(productsQty)-ROW('BHPC MANAGER'!$CD$10)+1), ROW(L83))), "")</f>
        <v/>
      </c>
      <c r="I96" s="240" t="str">
        <f t="array" ref="I96">IFERROR(INDEX(productsCartons, SMALL(IF(productsQty&lt;&gt;0, ROW(productsQty)-ROW('BHPC MANAGER'!$CD$10)+1), ROW(L83))), "")</f>
        <v/>
      </c>
      <c r="J96" s="573" t="str">
        <f t="shared" si="7"/>
        <v/>
      </c>
      <c r="K96" s="240" t="str">
        <f t="shared" si="8"/>
        <v/>
      </c>
    </row>
    <row r="97" spans="1:11" ht="15">
      <c r="A97" s="556" t="str">
        <f t="array" ref="A97">IFERROR(INDEX(productsSku, SMALL(IF(productsQty&lt;&gt;0, ROW(productsQty)-ROW('BHPC MANAGER'!$CD$10)+1), ROW(L84))), "")</f>
        <v/>
      </c>
      <c r="B97" s="237" t="str">
        <f t="array" ref="B97">IFERROR(INDEX(productsDescription, SMALL(IF(productsQty&lt;&gt;0, ROW(productsQty)-ROW('BHPC MANAGER'!$CD$10)+1), ROW(L84))), "")</f>
        <v/>
      </c>
      <c r="C97"/>
      <c r="D97"/>
      <c r="E97" s="209"/>
      <c r="F97" s="240" t="str">
        <f t="shared" si="6"/>
        <v/>
      </c>
      <c r="G97" s="240" t="str">
        <f t="array" ref="G97">IFERROR(INDEX(productsQty, SMALL(IF(productsQty&lt;&gt;0, ROW(productsQty)-ROW('BHPC MANAGER'!$CD$10)+1), ROW(L84))), "")</f>
        <v/>
      </c>
      <c r="H97" s="573" t="str">
        <f t="array" ref="H97">IFERROR(INDEX(productsSalePrice, SMALL(IF(productsQty&lt;&gt;0, ROW(productsQty)-ROW('BHPC MANAGER'!$CD$10)+1), ROW(L84))), "")</f>
        <v/>
      </c>
      <c r="I97" s="240" t="str">
        <f t="array" ref="I97">IFERROR(INDEX(productsCartons, SMALL(IF(productsQty&lt;&gt;0, ROW(productsQty)-ROW('BHPC MANAGER'!$CD$10)+1), ROW(L84))), "")</f>
        <v/>
      </c>
      <c r="J97" s="573" t="str">
        <f t="shared" si="7"/>
        <v/>
      </c>
      <c r="K97" s="240" t="str">
        <f t="shared" si="8"/>
        <v/>
      </c>
    </row>
    <row r="98" spans="1:11" ht="15">
      <c r="A98" s="556" t="str">
        <f t="array" ref="A98">IFERROR(INDEX(productsSku, SMALL(IF(productsQty&lt;&gt;0, ROW(productsQty)-ROW('BHPC MANAGER'!$CD$10)+1), ROW(L85))), "")</f>
        <v/>
      </c>
      <c r="B98" s="237" t="str">
        <f t="array" ref="B98">IFERROR(INDEX(productsDescription, SMALL(IF(productsQty&lt;&gt;0, ROW(productsQty)-ROW('BHPC MANAGER'!$CD$10)+1), ROW(L85))), "")</f>
        <v/>
      </c>
      <c r="C98"/>
      <c r="D98"/>
      <c r="E98" s="209"/>
      <c r="F98" s="240" t="str">
        <f t="shared" si="6"/>
        <v/>
      </c>
      <c r="G98" s="240" t="str">
        <f t="array" ref="G98">IFERROR(INDEX(productsQty, SMALL(IF(productsQty&lt;&gt;0, ROW(productsQty)-ROW('BHPC MANAGER'!$CD$10)+1), ROW(L85))), "")</f>
        <v/>
      </c>
      <c r="H98" s="573" t="str">
        <f t="array" ref="H98">IFERROR(INDEX(productsSalePrice, SMALL(IF(productsQty&lt;&gt;0, ROW(productsQty)-ROW('BHPC MANAGER'!$CD$10)+1), ROW(L85))), "")</f>
        <v/>
      </c>
      <c r="I98" s="240" t="str">
        <f t="array" ref="I98">IFERROR(INDEX(productsCartons, SMALL(IF(productsQty&lt;&gt;0, ROW(productsQty)-ROW('BHPC MANAGER'!$CD$10)+1), ROW(L85))), "")</f>
        <v/>
      </c>
      <c r="J98" s="573" t="str">
        <f t="shared" si="7"/>
        <v/>
      </c>
      <c r="K98" s="240" t="str">
        <f t="shared" si="8"/>
        <v/>
      </c>
    </row>
    <row r="99" spans="1:11" ht="15">
      <c r="A99" s="556" t="str">
        <f t="array" ref="A99">IFERROR(INDEX(productsSku, SMALL(IF(productsQty&lt;&gt;0, ROW(productsQty)-ROW('BHPC MANAGER'!$CD$10)+1), ROW(L86))), "")</f>
        <v/>
      </c>
      <c r="B99" s="237" t="str">
        <f t="array" ref="B99">IFERROR(INDEX(productsDescription, SMALL(IF(productsQty&lt;&gt;0, ROW(productsQty)-ROW('BHPC MANAGER'!$CD$10)+1), ROW(L86))), "")</f>
        <v/>
      </c>
      <c r="C99"/>
      <c r="D99"/>
      <c r="E99" s="209"/>
      <c r="F99" s="240" t="str">
        <f t="shared" si="6"/>
        <v/>
      </c>
      <c r="G99" s="240" t="str">
        <f t="array" ref="G99">IFERROR(INDEX(productsQty, SMALL(IF(productsQty&lt;&gt;0, ROW(productsQty)-ROW('BHPC MANAGER'!$CD$10)+1), ROW(L86))), "")</f>
        <v/>
      </c>
      <c r="H99" s="573" t="str">
        <f t="array" ref="H99">IFERROR(INDEX(productsSalePrice, SMALL(IF(productsQty&lt;&gt;0, ROW(productsQty)-ROW('BHPC MANAGER'!$CD$10)+1), ROW(L86))), "")</f>
        <v/>
      </c>
      <c r="I99" s="240" t="str">
        <f t="array" ref="I99">IFERROR(INDEX(productsCartons, SMALL(IF(productsQty&lt;&gt;0, ROW(productsQty)-ROW('BHPC MANAGER'!$CD$10)+1), ROW(L86))), "")</f>
        <v/>
      </c>
      <c r="J99" s="573" t="str">
        <f t="shared" si="7"/>
        <v/>
      </c>
      <c r="K99" s="240" t="str">
        <f t="shared" si="8"/>
        <v/>
      </c>
    </row>
    <row r="100" spans="1:11" ht="15">
      <c r="A100" s="556" t="str">
        <f t="array" ref="A100">IFERROR(INDEX(productsSku, SMALL(IF(productsQty&lt;&gt;0, ROW(productsQty)-ROW('BHPC MANAGER'!$CD$10)+1), ROW(L87))), "")</f>
        <v/>
      </c>
      <c r="B100" s="237" t="str">
        <f t="array" ref="B100">IFERROR(INDEX(productsDescription, SMALL(IF(productsQty&lt;&gt;0, ROW(productsQty)-ROW('BHPC MANAGER'!$CD$10)+1), ROW(L87))), "")</f>
        <v/>
      </c>
      <c r="C100"/>
      <c r="D100"/>
      <c r="E100" s="209"/>
      <c r="F100" s="240" t="str">
        <f t="shared" si="6"/>
        <v/>
      </c>
      <c r="G100" s="240" t="str">
        <f t="array" ref="G100">IFERROR(INDEX(productsQty, SMALL(IF(productsQty&lt;&gt;0, ROW(productsQty)-ROW('BHPC MANAGER'!$CD$10)+1), ROW(L87))), "")</f>
        <v/>
      </c>
      <c r="H100" s="573" t="str">
        <f t="array" ref="H100">IFERROR(INDEX(productsSalePrice, SMALL(IF(productsQty&lt;&gt;0, ROW(productsQty)-ROW('BHPC MANAGER'!$CD$10)+1), ROW(L87))), "")</f>
        <v/>
      </c>
      <c r="I100" s="240" t="str">
        <f t="array" ref="I100">IFERROR(INDEX(productsCartons, SMALL(IF(productsQty&lt;&gt;0, ROW(productsQty)-ROW('BHPC MANAGER'!$CD$10)+1), ROW(L87))), "")</f>
        <v/>
      </c>
      <c r="J100" s="573" t="str">
        <f t="shared" si="7"/>
        <v/>
      </c>
      <c r="K100" s="240" t="str">
        <f t="shared" si="8"/>
        <v/>
      </c>
    </row>
    <row r="101" spans="1:11" ht="15">
      <c r="A101" s="556" t="str">
        <f t="array" ref="A101">IFERROR(INDEX(productsSku, SMALL(IF(productsQty&lt;&gt;0, ROW(productsQty)-ROW('BHPC MANAGER'!$CD$10)+1), ROW(L88))), "")</f>
        <v/>
      </c>
      <c r="B101" s="237" t="str">
        <f t="array" ref="B101">IFERROR(INDEX(productsDescription, SMALL(IF(productsQty&lt;&gt;0, ROW(productsQty)-ROW('BHPC MANAGER'!$CD$10)+1), ROW(L88))), "")</f>
        <v/>
      </c>
      <c r="C101"/>
      <c r="D101"/>
      <c r="E101" s="209"/>
      <c r="F101" s="240" t="str">
        <f t="shared" si="6"/>
        <v/>
      </c>
      <c r="G101" s="240" t="str">
        <f t="array" ref="G101">IFERROR(INDEX(productsQty, SMALL(IF(productsQty&lt;&gt;0, ROW(productsQty)-ROW('BHPC MANAGER'!$CD$10)+1), ROW(L88))), "")</f>
        <v/>
      </c>
      <c r="H101" s="573" t="str">
        <f t="array" ref="H101">IFERROR(INDEX(productsSalePrice, SMALL(IF(productsQty&lt;&gt;0, ROW(productsQty)-ROW('BHPC MANAGER'!$CD$10)+1), ROW(L88))), "")</f>
        <v/>
      </c>
      <c r="I101" s="240" t="str">
        <f t="array" ref="I101">IFERROR(INDEX(productsCartons, SMALL(IF(productsQty&lt;&gt;0, ROW(productsQty)-ROW('BHPC MANAGER'!$CD$10)+1), ROW(L88))), "")</f>
        <v/>
      </c>
      <c r="J101" s="573" t="str">
        <f t="shared" si="7"/>
        <v/>
      </c>
      <c r="K101" s="240" t="str">
        <f t="shared" si="8"/>
        <v/>
      </c>
    </row>
    <row r="102" spans="1:11" ht="15">
      <c r="A102" s="556" t="str">
        <f t="array" ref="A102">IFERROR(INDEX(productsSku, SMALL(IF(productsQty&lt;&gt;0, ROW(productsQty)-ROW('BHPC MANAGER'!$CD$10)+1), ROW(L89))), "")</f>
        <v/>
      </c>
      <c r="B102" s="237" t="str">
        <f t="array" ref="B102">IFERROR(INDEX(productsDescription, SMALL(IF(productsQty&lt;&gt;0, ROW(productsQty)-ROW('BHPC MANAGER'!$CD$10)+1), ROW(L89))), "")</f>
        <v/>
      </c>
      <c r="C102"/>
      <c r="D102"/>
      <c r="E102" s="209"/>
      <c r="F102" s="240" t="str">
        <f t="shared" si="6"/>
        <v/>
      </c>
      <c r="G102" s="240" t="str">
        <f t="array" ref="G102">IFERROR(INDEX(productsQty, SMALL(IF(productsQty&lt;&gt;0, ROW(productsQty)-ROW('BHPC MANAGER'!$CD$10)+1), ROW(L89))), "")</f>
        <v/>
      </c>
      <c r="H102" s="573" t="str">
        <f t="array" ref="H102">IFERROR(INDEX(productsSalePrice, SMALL(IF(productsQty&lt;&gt;0, ROW(productsQty)-ROW('BHPC MANAGER'!$CD$10)+1), ROW(L89))), "")</f>
        <v/>
      </c>
      <c r="I102" s="240" t="str">
        <f t="array" ref="I102">IFERROR(INDEX(productsCartons, SMALL(IF(productsQty&lt;&gt;0, ROW(productsQty)-ROW('BHPC MANAGER'!$CD$10)+1), ROW(L89))), "")</f>
        <v/>
      </c>
      <c r="J102" s="573" t="str">
        <f t="shared" si="7"/>
        <v/>
      </c>
      <c r="K102" s="240" t="str">
        <f t="shared" si="8"/>
        <v/>
      </c>
    </row>
    <row r="103" spans="1:11" ht="15">
      <c r="A103" s="556" t="str">
        <f t="array" ref="A103">IFERROR(INDEX(productsSku, SMALL(IF(productsQty&lt;&gt;0, ROW(productsQty)-ROW('BHPC MANAGER'!$CD$10)+1), ROW(L90))), "")</f>
        <v/>
      </c>
      <c r="B103" s="237" t="str">
        <f t="array" ref="B103">IFERROR(INDEX(productsDescription, SMALL(IF(productsQty&lt;&gt;0, ROW(productsQty)-ROW('BHPC MANAGER'!$CD$10)+1), ROW(L90))), "")</f>
        <v/>
      </c>
      <c r="C103"/>
      <c r="D103"/>
      <c r="E103" s="209"/>
      <c r="F103" s="240" t="str">
        <f t="shared" si="6"/>
        <v/>
      </c>
      <c r="G103" s="240" t="str">
        <f t="array" ref="G103">IFERROR(INDEX(productsQty, SMALL(IF(productsQty&lt;&gt;0, ROW(productsQty)-ROW('BHPC MANAGER'!$CD$10)+1), ROW(L90))), "")</f>
        <v/>
      </c>
      <c r="H103" s="573" t="str">
        <f t="array" ref="H103">IFERROR(INDEX(productsSalePrice, SMALL(IF(productsQty&lt;&gt;0, ROW(productsQty)-ROW('BHPC MANAGER'!$CD$10)+1), ROW(L90))), "")</f>
        <v/>
      </c>
      <c r="I103" s="240" t="str">
        <f t="array" ref="I103">IFERROR(INDEX(productsCartons, SMALL(IF(productsQty&lt;&gt;0, ROW(productsQty)-ROW('BHPC MANAGER'!$CD$10)+1), ROW(L90))), "")</f>
        <v/>
      </c>
      <c r="J103" s="573" t="str">
        <f t="shared" si="7"/>
        <v/>
      </c>
      <c r="K103" s="240" t="str">
        <f t="shared" si="8"/>
        <v/>
      </c>
    </row>
    <row r="104" spans="1:11" ht="15">
      <c r="A104" s="556" t="str">
        <f t="array" ref="A104">IFERROR(INDEX(productsSku, SMALL(IF(productsQty&lt;&gt;0, ROW(productsQty)-ROW('BHPC MANAGER'!$CD$10)+1), ROW(L91))), "")</f>
        <v/>
      </c>
      <c r="B104" s="237" t="str">
        <f t="array" ref="B104">IFERROR(INDEX(productsDescription, SMALL(IF(productsQty&lt;&gt;0, ROW(productsQty)-ROW('BHPC MANAGER'!$CD$10)+1), ROW(L91))), "")</f>
        <v/>
      </c>
      <c r="C104"/>
      <c r="D104"/>
      <c r="E104" s="209"/>
      <c r="F104" s="240" t="str">
        <f t="shared" si="6"/>
        <v/>
      </c>
      <c r="G104" s="240" t="str">
        <f t="array" ref="G104">IFERROR(INDEX(productsQty, SMALL(IF(productsQty&lt;&gt;0, ROW(productsQty)-ROW('BHPC MANAGER'!$CD$10)+1), ROW(L91))), "")</f>
        <v/>
      </c>
      <c r="H104" s="573" t="str">
        <f t="array" ref="H104">IFERROR(INDEX(productsSalePrice, SMALL(IF(productsQty&lt;&gt;0, ROW(productsQty)-ROW('BHPC MANAGER'!$CD$10)+1), ROW(L91))), "")</f>
        <v/>
      </c>
      <c r="I104" s="240" t="str">
        <f t="array" ref="I104">IFERROR(INDEX(productsCartons, SMALL(IF(productsQty&lt;&gt;0, ROW(productsQty)-ROW('BHPC MANAGER'!$CD$10)+1), ROW(L91))), "")</f>
        <v/>
      </c>
      <c r="J104" s="573" t="str">
        <f t="shared" si="7"/>
        <v/>
      </c>
      <c r="K104" s="240" t="str">
        <f t="shared" si="8"/>
        <v/>
      </c>
    </row>
    <row r="105" spans="1:11" ht="15">
      <c r="A105" s="556" t="str">
        <f t="array" ref="A105">IFERROR(INDEX(productsSku, SMALL(IF(productsQty&lt;&gt;0, ROW(productsQty)-ROW('BHPC MANAGER'!$CD$10)+1), ROW(L92))), "")</f>
        <v/>
      </c>
      <c r="B105" s="237" t="str">
        <f t="array" ref="B105">IFERROR(INDEX(productsDescription, SMALL(IF(productsQty&lt;&gt;0, ROW(productsQty)-ROW('BHPC MANAGER'!$CD$10)+1), ROW(L92))), "")</f>
        <v/>
      </c>
      <c r="C105"/>
      <c r="D105"/>
      <c r="E105" s="209"/>
      <c r="F105" s="240" t="str">
        <f t="shared" si="6"/>
        <v/>
      </c>
      <c r="G105" s="240" t="str">
        <f t="array" ref="G105">IFERROR(INDEX(productsQty, SMALL(IF(productsQty&lt;&gt;0, ROW(productsQty)-ROW('BHPC MANAGER'!$CD$10)+1), ROW(L92))), "")</f>
        <v/>
      </c>
      <c r="H105" s="573" t="str">
        <f t="array" ref="H105">IFERROR(INDEX(productsSalePrice, SMALL(IF(productsQty&lt;&gt;0, ROW(productsQty)-ROW('BHPC MANAGER'!$CD$10)+1), ROW(L92))), "")</f>
        <v/>
      </c>
      <c r="I105" s="240" t="str">
        <f t="array" ref="I105">IFERROR(INDEX(productsCartons, SMALL(IF(productsQty&lt;&gt;0, ROW(productsQty)-ROW('BHPC MANAGER'!$CD$10)+1), ROW(L92))), "")</f>
        <v/>
      </c>
      <c r="J105" s="573" t="str">
        <f t="shared" si="7"/>
        <v/>
      </c>
      <c r="K105" s="240" t="str">
        <f t="shared" si="8"/>
        <v/>
      </c>
    </row>
    <row r="106" spans="1:11" ht="15">
      <c r="A106" s="556" t="str">
        <f t="array" ref="A106">IFERROR(INDEX(productsSku, SMALL(IF(productsQty&lt;&gt;0, ROW(productsQty)-ROW('BHPC MANAGER'!$CD$10)+1), ROW(L93))), "")</f>
        <v/>
      </c>
      <c r="B106" s="237" t="str">
        <f t="array" ref="B106">IFERROR(INDEX(productsDescription, SMALL(IF(productsQty&lt;&gt;0, ROW(productsQty)-ROW('BHPC MANAGER'!$CD$10)+1), ROW(L93))), "")</f>
        <v/>
      </c>
      <c r="C106"/>
      <c r="D106"/>
      <c r="E106" s="209"/>
      <c r="F106" s="240" t="str">
        <f t="shared" si="6"/>
        <v/>
      </c>
      <c r="G106" s="240" t="str">
        <f t="array" ref="G106">IFERROR(INDEX(productsQty, SMALL(IF(productsQty&lt;&gt;0, ROW(productsQty)-ROW('BHPC MANAGER'!$CD$10)+1), ROW(L93))), "")</f>
        <v/>
      </c>
      <c r="H106" s="573" t="str">
        <f t="array" ref="H106">IFERROR(INDEX(productsSalePrice, SMALL(IF(productsQty&lt;&gt;0, ROW(productsQty)-ROW('BHPC MANAGER'!$CD$10)+1), ROW(L93))), "")</f>
        <v/>
      </c>
      <c r="I106" s="240" t="str">
        <f t="array" ref="I106">IFERROR(INDEX(productsCartons, SMALL(IF(productsQty&lt;&gt;0, ROW(productsQty)-ROW('BHPC MANAGER'!$CD$10)+1), ROW(L93))), "")</f>
        <v/>
      </c>
      <c r="J106" s="573" t="str">
        <f t="shared" si="7"/>
        <v/>
      </c>
      <c r="K106" s="240" t="str">
        <f t="shared" si="8"/>
        <v/>
      </c>
    </row>
    <row r="107" spans="1:11" ht="15">
      <c r="A107" s="556" t="str">
        <f t="array" ref="A107">IFERROR(INDEX(productsSku, SMALL(IF(productsQty&lt;&gt;0, ROW(productsQty)-ROW('BHPC MANAGER'!$CD$10)+1), ROW(L94))), "")</f>
        <v/>
      </c>
      <c r="B107" s="237" t="str">
        <f t="array" ref="B107">IFERROR(INDEX(productsDescription, SMALL(IF(productsQty&lt;&gt;0, ROW(productsQty)-ROW('BHPC MANAGER'!$CD$10)+1), ROW(L94))), "")</f>
        <v/>
      </c>
      <c r="C107"/>
      <c r="D107"/>
      <c r="E107" s="209"/>
      <c r="F107" s="240" t="str">
        <f t="shared" si="6"/>
        <v/>
      </c>
      <c r="G107" s="240" t="str">
        <f t="array" ref="G107">IFERROR(INDEX(productsQty, SMALL(IF(productsQty&lt;&gt;0, ROW(productsQty)-ROW('BHPC MANAGER'!$CD$10)+1), ROW(L94))), "")</f>
        <v/>
      </c>
      <c r="H107" s="573" t="str">
        <f t="array" ref="H107">IFERROR(INDEX(productsSalePrice, SMALL(IF(productsQty&lt;&gt;0, ROW(productsQty)-ROW('BHPC MANAGER'!$CD$10)+1), ROW(L94))), "")</f>
        <v/>
      </c>
      <c r="I107" s="240" t="str">
        <f t="array" ref="I107">IFERROR(INDEX(productsCartons, SMALL(IF(productsQty&lt;&gt;0, ROW(productsQty)-ROW('BHPC MANAGER'!$CD$10)+1), ROW(L94))), "")</f>
        <v/>
      </c>
      <c r="J107" s="573" t="str">
        <f t="shared" si="7"/>
        <v/>
      </c>
      <c r="K107" s="240" t="str">
        <f t="shared" si="8"/>
        <v/>
      </c>
    </row>
    <row r="108" spans="1:11" ht="15">
      <c r="A108" s="556" t="str">
        <f t="array" ref="A108">IFERROR(INDEX(productsSku, SMALL(IF(productsQty&lt;&gt;0, ROW(productsQty)-ROW('BHPC MANAGER'!$CD$10)+1), ROW(L95))), "")</f>
        <v/>
      </c>
      <c r="B108" s="237" t="str">
        <f t="array" ref="B108">IFERROR(INDEX(productsDescription, SMALL(IF(productsQty&lt;&gt;0, ROW(productsQty)-ROW('BHPC MANAGER'!$CD$10)+1), ROW(L95))), "")</f>
        <v/>
      </c>
      <c r="C108"/>
      <c r="D108"/>
      <c r="E108" s="209"/>
      <c r="F108" s="240" t="str">
        <f t="shared" si="6"/>
        <v/>
      </c>
      <c r="G108" s="240" t="str">
        <f t="array" ref="G108">IFERROR(INDEX(productsQty, SMALL(IF(productsQty&lt;&gt;0, ROW(productsQty)-ROW('BHPC MANAGER'!$CD$10)+1), ROW(L95))), "")</f>
        <v/>
      </c>
      <c r="H108" s="573" t="str">
        <f t="array" ref="H108">IFERROR(INDEX(productsSalePrice, SMALL(IF(productsQty&lt;&gt;0, ROW(productsQty)-ROW('BHPC MANAGER'!$CD$10)+1), ROW(L95))), "")</f>
        <v/>
      </c>
      <c r="I108" s="240" t="str">
        <f t="array" ref="I108">IFERROR(INDEX(productsCartons, SMALL(IF(productsQty&lt;&gt;0, ROW(productsQty)-ROW('BHPC MANAGER'!$CD$10)+1), ROW(L95))), "")</f>
        <v/>
      </c>
      <c r="J108" s="573" t="str">
        <f t="shared" si="7"/>
        <v/>
      </c>
      <c r="K108" s="240" t="str">
        <f t="shared" si="8"/>
        <v/>
      </c>
    </row>
    <row r="109" spans="1:11" ht="15">
      <c r="A109" s="556" t="str">
        <f t="array" ref="A109">IFERROR(INDEX(productsSku, SMALL(IF(productsQty&lt;&gt;0, ROW(productsQty)-ROW('BHPC MANAGER'!$CD$10)+1), ROW(L96))), "")</f>
        <v/>
      </c>
      <c r="B109" s="237" t="str">
        <f t="array" ref="B109">IFERROR(INDEX(productsDescription, SMALL(IF(productsQty&lt;&gt;0, ROW(productsQty)-ROW('BHPC MANAGER'!$CD$10)+1), ROW(L96))), "")</f>
        <v/>
      </c>
      <c r="C109"/>
      <c r="D109"/>
      <c r="E109" s="209"/>
      <c r="F109" s="240" t="str">
        <f t="shared" si="6"/>
        <v/>
      </c>
      <c r="G109" s="240" t="str">
        <f t="array" ref="G109">IFERROR(INDEX(productsQty, SMALL(IF(productsQty&lt;&gt;0, ROW(productsQty)-ROW('BHPC MANAGER'!$CD$10)+1), ROW(L96))), "")</f>
        <v/>
      </c>
      <c r="H109" s="573" t="str">
        <f t="array" ref="H109">IFERROR(INDEX(productsSalePrice, SMALL(IF(productsQty&lt;&gt;0, ROW(productsQty)-ROW('BHPC MANAGER'!$CD$10)+1), ROW(L96))), "")</f>
        <v/>
      </c>
      <c r="I109" s="240" t="str">
        <f t="array" ref="I109">IFERROR(INDEX(productsCartons, SMALL(IF(productsQty&lt;&gt;0, ROW(productsQty)-ROW('BHPC MANAGER'!$CD$10)+1), ROW(L96))), "")</f>
        <v/>
      </c>
      <c r="J109" s="573" t="str">
        <f t="shared" si="7"/>
        <v/>
      </c>
      <c r="K109" s="240" t="str">
        <f t="shared" si="8"/>
        <v/>
      </c>
    </row>
    <row r="110" spans="1:11" ht="15">
      <c r="A110" s="556" t="str">
        <f t="array" ref="A110">IFERROR(INDEX(productsSku, SMALL(IF(productsQty&lt;&gt;0, ROW(productsQty)-ROW('BHPC MANAGER'!$CD$10)+1), ROW(L97))), "")</f>
        <v/>
      </c>
      <c r="B110" s="237" t="str">
        <f t="array" ref="B110">IFERROR(INDEX(productsDescription, SMALL(IF(productsQty&lt;&gt;0, ROW(productsQty)-ROW('BHPC MANAGER'!$CD$10)+1), ROW(L97))), "")</f>
        <v/>
      </c>
      <c r="C110"/>
      <c r="D110"/>
      <c r="E110" s="209"/>
      <c r="F110" s="240" t="str">
        <f t="shared" si="6"/>
        <v/>
      </c>
      <c r="G110" s="240" t="str">
        <f t="array" ref="G110">IFERROR(INDEX(productsQty, SMALL(IF(productsQty&lt;&gt;0, ROW(productsQty)-ROW('BHPC MANAGER'!$CD$10)+1), ROW(L97))), "")</f>
        <v/>
      </c>
      <c r="H110" s="573" t="str">
        <f t="array" ref="H110">IFERROR(INDEX(productsSalePrice, SMALL(IF(productsQty&lt;&gt;0, ROW(productsQty)-ROW('BHPC MANAGER'!$CD$10)+1), ROW(L97))), "")</f>
        <v/>
      </c>
      <c r="I110" s="240" t="str">
        <f t="array" ref="I110">IFERROR(INDEX(productsCartons, SMALL(IF(productsQty&lt;&gt;0, ROW(productsQty)-ROW('BHPC MANAGER'!$CD$10)+1), ROW(L97))), "")</f>
        <v/>
      </c>
      <c r="J110" s="573" t="str">
        <f t="shared" si="7"/>
        <v/>
      </c>
      <c r="K110" s="240" t="str">
        <f t="shared" si="8"/>
        <v/>
      </c>
    </row>
    <row r="111" spans="1:11" ht="15">
      <c r="A111" s="556"/>
      <c r="B111" s="237"/>
      <c r="C111"/>
      <c r="D111"/>
      <c r="E111" s="209"/>
      <c r="F111" s="240"/>
      <c r="G111" s="240"/>
      <c r="H111" s="573"/>
      <c r="I111" s="240"/>
      <c r="J111" s="573"/>
      <c r="K111" s="240"/>
    </row>
    <row r="112" spans="1:11" ht="15">
      <c r="A112" s="556"/>
      <c r="B112" s="237"/>
      <c r="C112"/>
      <c r="D112"/>
      <c r="E112" s="209"/>
      <c r="F112" s="240"/>
      <c r="G112" s="240"/>
      <c r="H112" s="573"/>
      <c r="I112" s="240"/>
      <c r="J112" s="573"/>
      <c r="K112" s="240"/>
    </row>
    <row r="113" spans="1:11" ht="15">
      <c r="A113" s="556"/>
      <c r="B113" s="237"/>
      <c r="C113"/>
      <c r="D113"/>
      <c r="E113" s="209"/>
      <c r="F113" s="240"/>
      <c r="G113" s="240"/>
      <c r="H113" s="573"/>
      <c r="I113" s="240"/>
      <c r="J113" s="573"/>
      <c r="K113" s="240"/>
    </row>
    <row r="114" spans="1:11" ht="15">
      <c r="A114" s="556"/>
      <c r="B114" s="237"/>
      <c r="C114"/>
      <c r="D114"/>
      <c r="E114" s="209"/>
      <c r="F114" s="240"/>
      <c r="G114" s="240"/>
      <c r="H114" s="573"/>
      <c r="I114" s="240"/>
      <c r="J114" s="573"/>
      <c r="K114" s="240"/>
    </row>
    <row r="115" spans="1:11" ht="15">
      <c r="A115" s="556"/>
      <c r="B115" s="237"/>
      <c r="C115"/>
      <c r="D115"/>
      <c r="E115" s="209"/>
      <c r="F115" s="240"/>
      <c r="G115" s="240"/>
      <c r="H115" s="573"/>
      <c r="I115" s="240"/>
      <c r="J115" s="573"/>
      <c r="K115" s="240"/>
    </row>
    <row r="116" spans="1:11" ht="15">
      <c r="A116" s="556"/>
      <c r="B116" s="237"/>
      <c r="C116"/>
      <c r="D116"/>
      <c r="E116" s="209"/>
      <c r="F116" s="240"/>
      <c r="G116" s="240"/>
      <c r="H116" s="573"/>
      <c r="I116" s="240"/>
      <c r="J116" s="573"/>
      <c r="K116" s="240"/>
    </row>
    <row r="117" spans="1:11" ht="15">
      <c r="A117" s="556"/>
      <c r="B117" s="237"/>
      <c r="C117"/>
      <c r="D117"/>
      <c r="E117" s="209"/>
      <c r="F117" s="240"/>
      <c r="G117" s="240"/>
      <c r="H117" s="573"/>
      <c r="I117" s="240"/>
      <c r="J117" s="573"/>
      <c r="K117" s="240"/>
    </row>
    <row r="118" spans="1:11" ht="15">
      <c r="A118" s="556"/>
      <c r="B118" s="237"/>
      <c r="C118"/>
      <c r="D118"/>
      <c r="E118" s="209"/>
      <c r="F118" s="240"/>
      <c r="G118" s="240"/>
      <c r="H118" s="573"/>
      <c r="I118" s="240"/>
      <c r="J118" s="573"/>
      <c r="K118" s="240"/>
    </row>
    <row r="119" spans="1:11" ht="15">
      <c r="A119" s="556"/>
      <c r="B119" s="237"/>
      <c r="C119"/>
      <c r="D119"/>
      <c r="E119" s="209"/>
      <c r="F119" s="240"/>
      <c r="G119" s="240"/>
      <c r="H119" s="573"/>
      <c r="I119" s="240"/>
      <c r="J119" s="573"/>
      <c r="K119" s="240"/>
    </row>
    <row r="120" spans="1:11" ht="15">
      <c r="A120" s="556"/>
      <c r="B120" s="237"/>
      <c r="C120"/>
      <c r="D120"/>
      <c r="E120" s="209"/>
      <c r="F120" s="240"/>
      <c r="G120" s="240"/>
      <c r="H120" s="573"/>
      <c r="I120" s="240"/>
      <c r="J120" s="573"/>
      <c r="K120" s="240"/>
    </row>
    <row r="121" spans="1:11">
      <c r="A121" s="737"/>
      <c r="B121" s="739"/>
      <c r="C121" s="737"/>
      <c r="D121" s="739"/>
      <c r="E121" s="737" t="s">
        <v>570</v>
      </c>
      <c r="F121" s="738"/>
      <c r="G121" s="739"/>
      <c r="H121" s="767" t="s">
        <v>553</v>
      </c>
      <c r="I121" s="738"/>
      <c r="J121" s="768"/>
      <c r="K121" s="739"/>
    </row>
    <row r="122" spans="1:11" ht="14.45" customHeight="1">
      <c r="A122" s="742"/>
      <c r="B122" s="743"/>
      <c r="C122" s="742"/>
      <c r="D122" s="743"/>
      <c r="E122" s="769">
        <f>SUM($J$74:$J$120)</f>
        <v>0</v>
      </c>
      <c r="F122" s="770"/>
      <c r="G122" s="771"/>
      <c r="H122" s="734">
        <f>$E$122+$E$67</f>
        <v>8409.6</v>
      </c>
      <c r="I122" s="735"/>
      <c r="J122" s="735"/>
      <c r="K122" s="736"/>
    </row>
    <row r="123" spans="1:11">
      <c r="A123" s="737" t="s">
        <v>554</v>
      </c>
      <c r="B123" s="739"/>
      <c r="C123" s="226" t="s">
        <v>555</v>
      </c>
      <c r="D123" s="737" t="s">
        <v>556</v>
      </c>
      <c r="E123" s="739"/>
      <c r="F123" s="737" t="s">
        <v>557</v>
      </c>
      <c r="G123" s="739"/>
      <c r="H123" s="765" t="s">
        <v>558</v>
      </c>
      <c r="I123" s="731"/>
      <c r="J123" s="766"/>
      <c r="K123" s="733"/>
    </row>
    <row r="124" spans="1:11" ht="14.45" customHeight="1">
      <c r="A124" s="716" t="s">
        <v>260</v>
      </c>
      <c r="B124" s="717"/>
      <c r="C124" s="720" t="s">
        <v>259</v>
      </c>
      <c r="D124" s="722">
        <f>H122</f>
        <v>8409.6</v>
      </c>
      <c r="E124" s="723"/>
      <c r="F124" s="726">
        <f>IF(C124="022",22%,0)</f>
        <v>0</v>
      </c>
      <c r="G124" s="727"/>
      <c r="H124" s="734">
        <f>H122</f>
        <v>8409.6</v>
      </c>
      <c r="I124" s="735"/>
      <c r="J124" s="735"/>
      <c r="K124" s="736"/>
    </row>
    <row r="125" spans="1:11">
      <c r="A125" s="716"/>
      <c r="B125" s="717"/>
      <c r="C125" s="720"/>
      <c r="D125" s="722"/>
      <c r="E125" s="723"/>
      <c r="F125" s="726"/>
      <c r="G125" s="727"/>
      <c r="H125" s="765" t="s">
        <v>559</v>
      </c>
      <c r="I125" s="731"/>
      <c r="J125" s="766"/>
      <c r="K125" s="733"/>
    </row>
    <row r="126" spans="1:11" ht="14.45" customHeight="1">
      <c r="A126" s="716"/>
      <c r="B126" s="717"/>
      <c r="C126" s="720"/>
      <c r="D126" s="722"/>
      <c r="E126" s="723"/>
      <c r="F126" s="726"/>
      <c r="G126" s="727"/>
      <c r="H126" s="734">
        <f>SEJ124*F124</f>
        <v>0</v>
      </c>
      <c r="I126" s="735"/>
      <c r="J126" s="735"/>
      <c r="K126" s="736"/>
    </row>
    <row r="127" spans="1:11">
      <c r="A127" s="716"/>
      <c r="B127" s="717"/>
      <c r="C127" s="720"/>
      <c r="D127" s="722"/>
      <c r="E127" s="723"/>
      <c r="F127" s="726"/>
      <c r="G127" s="727"/>
      <c r="H127" s="765" t="s">
        <v>560</v>
      </c>
      <c r="I127" s="731"/>
      <c r="J127" s="766"/>
      <c r="K127" s="733"/>
    </row>
    <row r="128" spans="1:11" ht="14.45" customHeight="1">
      <c r="A128" s="718"/>
      <c r="B128" s="719"/>
      <c r="C128" s="721"/>
      <c r="D128" s="724"/>
      <c r="E128" s="725"/>
      <c r="F128" s="728"/>
      <c r="G128" s="729"/>
      <c r="H128" s="734">
        <f>H122+H126</f>
        <v>8409.6</v>
      </c>
      <c r="I128" s="735"/>
      <c r="J128" s="735"/>
      <c r="K128" s="736"/>
    </row>
    <row r="129" spans="1:11">
      <c r="A129" s="701" t="s">
        <v>561</v>
      </c>
      <c r="B129" s="702"/>
      <c r="C129" s="702"/>
      <c r="D129" s="702"/>
      <c r="E129" s="702"/>
      <c r="F129" s="702"/>
      <c r="G129" s="702"/>
      <c r="H129" s="778"/>
      <c r="I129" s="702"/>
      <c r="J129" s="778"/>
      <c r="K129" s="704"/>
    </row>
    <row r="130" spans="1:11">
      <c r="A130" s="705" t="s">
        <v>562</v>
      </c>
      <c r="B130" s="706"/>
      <c r="C130" s="706"/>
      <c r="D130" s="706"/>
      <c r="E130" s="706"/>
      <c r="F130" s="706"/>
      <c r="G130" s="706"/>
      <c r="H130" s="779"/>
      <c r="I130" s="706"/>
      <c r="J130" s="779"/>
      <c r="K130" s="708"/>
    </row>
    <row r="131" spans="1:11">
      <c r="A131" s="701" t="s">
        <v>563</v>
      </c>
      <c r="B131" s="709" t="s">
        <v>564</v>
      </c>
      <c r="C131" s="709"/>
      <c r="D131" s="709"/>
      <c r="E131" s="709"/>
      <c r="F131" s="709"/>
      <c r="G131" s="709"/>
      <c r="H131" s="780"/>
      <c r="I131" s="709"/>
      <c r="J131" s="780"/>
      <c r="K131" s="711"/>
    </row>
    <row r="132" spans="1:11">
      <c r="A132" s="705"/>
      <c r="B132" s="712"/>
      <c r="C132" s="712"/>
      <c r="D132" s="712"/>
      <c r="E132" s="712"/>
      <c r="F132" s="712"/>
      <c r="G132" s="712"/>
      <c r="H132" s="781"/>
      <c r="I132" s="712"/>
      <c r="J132" s="781"/>
      <c r="K132" s="714"/>
    </row>
    <row r="133" spans="1:11">
      <c r="A133" s="698" t="s">
        <v>565</v>
      </c>
      <c r="B133" s="698"/>
      <c r="C133" s="698"/>
      <c r="D133" s="698"/>
      <c r="E133" s="698"/>
      <c r="F133" s="698"/>
      <c r="G133" s="698"/>
      <c r="H133" s="774"/>
      <c r="I133" s="698"/>
      <c r="J133" s="774"/>
      <c r="K133" s="698"/>
    </row>
    <row r="134" spans="1:11">
      <c r="A134" s="698" t="s">
        <v>566</v>
      </c>
      <c r="B134" s="698"/>
      <c r="C134" s="698"/>
      <c r="D134" s="698"/>
      <c r="E134" s="698"/>
      <c r="F134" s="698"/>
      <c r="G134" s="698"/>
      <c r="H134" s="774"/>
      <c r="I134" s="698"/>
      <c r="J134" s="774"/>
      <c r="K134" s="698"/>
    </row>
    <row r="135" spans="1:11">
      <c r="A135" s="698" t="s">
        <v>567</v>
      </c>
      <c r="B135" s="699"/>
      <c r="C135" s="699"/>
      <c r="D135" s="699"/>
      <c r="E135" s="699"/>
      <c r="F135" s="699"/>
      <c r="G135" s="699"/>
      <c r="H135" s="775"/>
      <c r="I135" s="699"/>
      <c r="J135" s="775"/>
      <c r="K135" s="699"/>
    </row>
    <row r="136" spans="1:11">
      <c r="H136" s="242"/>
      <c r="J136" s="242"/>
    </row>
    <row r="137" spans="1:11">
      <c r="H137" s="242"/>
      <c r="J137" s="242"/>
    </row>
    <row r="138" spans="1:11">
      <c r="H138" s="242"/>
      <c r="J138" s="242"/>
    </row>
    <row r="139" spans="1:11">
      <c r="H139" s="242"/>
      <c r="J139" s="242"/>
    </row>
    <row r="140" spans="1:11">
      <c r="H140" s="242"/>
      <c r="J140" s="242"/>
    </row>
    <row r="141" spans="1:11">
      <c r="H141" s="242"/>
      <c r="J141" s="242"/>
    </row>
    <row r="142" spans="1:11">
      <c r="H142" s="242"/>
      <c r="J142" s="242"/>
    </row>
    <row r="143" spans="1:11">
      <c r="H143" s="242"/>
      <c r="J143" s="242"/>
    </row>
    <row r="144" spans="1:11">
      <c r="H144" s="242"/>
      <c r="J144" s="242"/>
    </row>
    <row r="145" spans="8:10">
      <c r="H145" s="242"/>
      <c r="J145" s="242"/>
    </row>
    <row r="146" spans="8:10">
      <c r="H146" s="242"/>
      <c r="J146" s="242"/>
    </row>
    <row r="147" spans="8:10">
      <c r="H147" s="242"/>
      <c r="J147" s="242"/>
    </row>
    <row r="148" spans="8:10">
      <c r="H148" s="242"/>
      <c r="J148" s="242"/>
    </row>
    <row r="149" spans="8:10">
      <c r="H149" s="242"/>
      <c r="J149" s="242"/>
    </row>
    <row r="150" spans="8:10">
      <c r="H150" s="242"/>
      <c r="J150" s="242"/>
    </row>
    <row r="151" spans="8:10">
      <c r="H151" s="242"/>
      <c r="J151" s="242"/>
    </row>
    <row r="152" spans="8:10">
      <c r="H152" s="242"/>
      <c r="J152" s="242"/>
    </row>
    <row r="153" spans="8:10">
      <c r="H153" s="242"/>
      <c r="J153" s="242"/>
    </row>
    <row r="154" spans="8:10">
      <c r="H154" s="242"/>
      <c r="J154" s="242"/>
    </row>
    <row r="155" spans="8:10">
      <c r="H155" s="242"/>
      <c r="J155" s="242"/>
    </row>
    <row r="156" spans="8:10">
      <c r="H156" s="242"/>
      <c r="J156" s="242"/>
    </row>
    <row r="157" spans="8:10">
      <c r="H157" s="242"/>
      <c r="J157" s="242"/>
    </row>
    <row r="158" spans="8:10">
      <c r="H158" s="242"/>
      <c r="J158" s="242"/>
    </row>
    <row r="159" spans="8:10">
      <c r="H159" s="242"/>
      <c r="J159" s="242"/>
    </row>
    <row r="160" spans="8:10">
      <c r="H160" s="242"/>
      <c r="J160" s="242"/>
    </row>
    <row r="161" spans="8:10">
      <c r="H161" s="242"/>
      <c r="J161" s="242"/>
    </row>
    <row r="162" spans="8:10">
      <c r="H162" s="242"/>
      <c r="J162" s="242"/>
    </row>
    <row r="163" spans="8:10">
      <c r="H163" s="242"/>
      <c r="J163" s="242"/>
    </row>
    <row r="164" spans="8:10">
      <c r="H164" s="242"/>
      <c r="J164" s="242"/>
    </row>
    <row r="165" spans="8:10">
      <c r="H165" s="242"/>
      <c r="J165" s="242"/>
    </row>
    <row r="166" spans="8:10">
      <c r="H166" s="242"/>
      <c r="J166" s="242"/>
    </row>
    <row r="167" spans="8:10">
      <c r="H167" s="242"/>
      <c r="J167" s="242"/>
    </row>
    <row r="168" spans="8:10">
      <c r="H168" s="242"/>
      <c r="J168" s="242"/>
    </row>
    <row r="169" spans="8:10">
      <c r="H169" s="242"/>
      <c r="J169" s="242"/>
    </row>
    <row r="170" spans="8:10">
      <c r="H170" s="242"/>
      <c r="J170" s="242"/>
    </row>
    <row r="171" spans="8:10">
      <c r="H171" s="242"/>
      <c r="J171" s="242"/>
    </row>
    <row r="172" spans="8:10">
      <c r="H172" s="242"/>
      <c r="J172" s="242"/>
    </row>
    <row r="173" spans="8:10">
      <c r="H173" s="242"/>
      <c r="J173" s="242"/>
    </row>
    <row r="174" spans="8:10">
      <c r="H174" s="242"/>
      <c r="J174" s="242"/>
    </row>
    <row r="175" spans="8:10">
      <c r="H175" s="242"/>
      <c r="J175" s="242"/>
    </row>
    <row r="176" spans="8:10">
      <c r="H176" s="242"/>
      <c r="J176" s="242"/>
    </row>
    <row r="177" spans="8:10">
      <c r="H177" s="242"/>
      <c r="J177" s="242"/>
    </row>
    <row r="178" spans="8:10">
      <c r="H178" s="242"/>
      <c r="J178" s="242"/>
    </row>
    <row r="179" spans="8:10">
      <c r="H179" s="242"/>
      <c r="J179" s="242"/>
    </row>
    <row r="180" spans="8:10">
      <c r="H180" s="242"/>
      <c r="J180" s="242"/>
    </row>
    <row r="181" spans="8:10">
      <c r="H181" s="242"/>
      <c r="J181" s="242"/>
    </row>
    <row r="182" spans="8:10">
      <c r="H182" s="242"/>
      <c r="J182" s="242"/>
    </row>
    <row r="183" spans="8:10">
      <c r="H183" s="242"/>
      <c r="J183" s="242"/>
    </row>
    <row r="184" spans="8:10">
      <c r="H184" s="242"/>
      <c r="J184" s="242"/>
    </row>
    <row r="185" spans="8:10">
      <c r="H185" s="242"/>
      <c r="J185" s="242"/>
    </row>
    <row r="186" spans="8:10">
      <c r="H186" s="242"/>
      <c r="J186" s="242"/>
    </row>
    <row r="187" spans="8:10">
      <c r="H187" s="242"/>
      <c r="J187" s="242"/>
    </row>
    <row r="188" spans="8:10">
      <c r="H188" s="242"/>
      <c r="J188" s="242"/>
    </row>
    <row r="189" spans="8:10">
      <c r="H189" s="242"/>
      <c r="J189" s="242"/>
    </row>
    <row r="190" spans="8:10">
      <c r="H190" s="242"/>
      <c r="J190" s="242"/>
    </row>
    <row r="191" spans="8:10">
      <c r="H191" s="242"/>
      <c r="J191" s="242"/>
    </row>
    <row r="192" spans="8:10">
      <c r="H192" s="242"/>
      <c r="J192" s="242"/>
    </row>
    <row r="193" spans="4:10">
      <c r="H193" s="242"/>
      <c r="J193" s="242"/>
    </row>
    <row r="194" spans="4:10">
      <c r="H194" s="242"/>
      <c r="J194" s="242"/>
    </row>
    <row r="195" spans="4:10">
      <c r="H195" s="242"/>
      <c r="J195" s="242"/>
    </row>
    <row r="196" spans="4:10">
      <c r="H196" s="242"/>
      <c r="J196" s="242"/>
    </row>
    <row r="197" spans="4:10">
      <c r="H197" s="242"/>
      <c r="J197" s="242"/>
    </row>
    <row r="198" spans="4:10">
      <c r="H198" s="242"/>
      <c r="J198" s="242"/>
    </row>
    <row r="199" spans="4:10">
      <c r="H199" s="242"/>
      <c r="J199" s="242"/>
    </row>
    <row r="200" spans="4:10">
      <c r="H200" s="242"/>
      <c r="J200" s="242"/>
    </row>
    <row r="201" spans="4:10">
      <c r="H201" s="242"/>
      <c r="J201" s="242"/>
    </row>
    <row r="202" spans="4:10">
      <c r="H202" s="242"/>
      <c r="J202" s="242"/>
    </row>
    <row r="203" spans="4:10">
      <c r="H203" s="233"/>
      <c r="J203" s="233"/>
    </row>
    <row r="204" spans="4:10">
      <c r="H204" s="233"/>
      <c r="J204" s="242"/>
    </row>
    <row r="205" spans="4:10">
      <c r="H205" s="233"/>
      <c r="J205" s="233"/>
    </row>
    <row r="206" spans="4:10">
      <c r="D206" s="243"/>
      <c r="E206" s="242"/>
      <c r="H206" s="233"/>
      <c r="J206" s="242"/>
    </row>
    <row r="207" spans="4:10">
      <c r="D207" s="243"/>
      <c r="E207" s="242"/>
      <c r="H207" s="233"/>
      <c r="J207" s="233"/>
    </row>
    <row r="208" spans="4:10">
      <c r="D208" s="243"/>
      <c r="E208" s="242"/>
      <c r="H208" s="233"/>
      <c r="J208" s="242"/>
    </row>
    <row r="209" spans="4:10">
      <c r="D209" s="243"/>
      <c r="E209" s="242"/>
      <c r="H209" s="233"/>
      <c r="J209" s="233"/>
    </row>
    <row r="210" spans="4:10">
      <c r="D210" s="243"/>
      <c r="E210" s="242"/>
      <c r="H210" s="233"/>
      <c r="J210" s="242"/>
    </row>
    <row r="211" spans="4:10">
      <c r="J211" s="233"/>
    </row>
    <row r="212" spans="4:10">
      <c r="J212" s="233"/>
    </row>
    <row r="213" spans="4:10">
      <c r="D213" s="234"/>
      <c r="E213" s="233"/>
      <c r="J213" s="233"/>
    </row>
    <row r="214" spans="4:10">
      <c r="D214" s="234"/>
      <c r="E214" s="233"/>
      <c r="J214" s="233"/>
    </row>
    <row r="215" spans="4:10">
      <c r="D215" s="234"/>
      <c r="E215" s="233"/>
      <c r="J215" s="233"/>
    </row>
    <row r="216" spans="4:10">
      <c r="D216" s="234"/>
      <c r="E216" s="233"/>
      <c r="J216" s="233"/>
    </row>
    <row r="217" spans="4:10">
      <c r="D217" s="234"/>
      <c r="E217" s="233"/>
      <c r="J217" s="233"/>
    </row>
    <row r="218" spans="4:10">
      <c r="D218" s="234"/>
      <c r="E218" s="233"/>
      <c r="J218" s="233"/>
    </row>
  </sheetData>
  <mergeCells count="61">
    <mergeCell ref="A133:K133"/>
    <mergeCell ref="A134:K134"/>
    <mergeCell ref="A135:K135"/>
    <mergeCell ref="H67:K67"/>
    <mergeCell ref="H69:K69"/>
    <mergeCell ref="H71:K71"/>
    <mergeCell ref="H73:K73"/>
    <mergeCell ref="H122:K122"/>
    <mergeCell ref="H124:K124"/>
    <mergeCell ref="H126:K126"/>
    <mergeCell ref="A129:K129"/>
    <mergeCell ref="A130:K130"/>
    <mergeCell ref="A131:A132"/>
    <mergeCell ref="B131:K132"/>
    <mergeCell ref="H128:K128"/>
    <mergeCell ref="A124:B128"/>
    <mergeCell ref="C124:C128"/>
    <mergeCell ref="D124:E128"/>
    <mergeCell ref="F124:G128"/>
    <mergeCell ref="H125:K125"/>
    <mergeCell ref="H127:K127"/>
    <mergeCell ref="H123:K123"/>
    <mergeCell ref="A121:B121"/>
    <mergeCell ref="C121:D121"/>
    <mergeCell ref="E121:G121"/>
    <mergeCell ref="H121:K121"/>
    <mergeCell ref="A122:B122"/>
    <mergeCell ref="C122:D122"/>
    <mergeCell ref="E122:G122"/>
    <mergeCell ref="A123:B123"/>
    <mergeCell ref="D123:E123"/>
    <mergeCell ref="F123:G123"/>
    <mergeCell ref="A69:B73"/>
    <mergeCell ref="C69:C73"/>
    <mergeCell ref="D69:E73"/>
    <mergeCell ref="F69:G73"/>
    <mergeCell ref="H70:K70"/>
    <mergeCell ref="H72:K72"/>
    <mergeCell ref="H68:K68"/>
    <mergeCell ref="A10:K10"/>
    <mergeCell ref="B12:E12"/>
    <mergeCell ref="A66:B66"/>
    <mergeCell ref="C66:D66"/>
    <mergeCell ref="E66:G66"/>
    <mergeCell ref="H66:K66"/>
    <mergeCell ref="A67:B67"/>
    <mergeCell ref="C67:D67"/>
    <mergeCell ref="E67:G67"/>
    <mergeCell ref="A68:B68"/>
    <mergeCell ref="D68:E68"/>
    <mergeCell ref="F68:G68"/>
    <mergeCell ref="A8:B8"/>
    <mergeCell ref="C8:D8"/>
    <mergeCell ref="E8:F8"/>
    <mergeCell ref="G8:I8"/>
    <mergeCell ref="J8:K8"/>
    <mergeCell ref="A9:B9"/>
    <mergeCell ref="C9:D9"/>
    <mergeCell ref="E9:F9"/>
    <mergeCell ref="G9:I9"/>
    <mergeCell ref="J9:K9"/>
  </mergeCells>
  <dataValidations count="1">
    <dataValidation type="list" allowBlank="1" showInputMessage="1" showErrorMessage="1" sqref="J9:K9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75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Foglio8"/>
  <dimension ref="A1:S64"/>
  <sheetViews>
    <sheetView showGridLines="0" topLeftCell="A4" zoomScaleSheetLayoutView="100" workbookViewId="0">
      <selection activeCell="H53" sqref="H53:K53"/>
    </sheetView>
  </sheetViews>
  <sheetFormatPr defaultColWidth="10.7109375" defaultRowHeight="12.75"/>
  <cols>
    <col min="1" max="1" width="9.140625" style="466" customWidth="1"/>
    <col min="2" max="2" width="15.42578125" style="466" customWidth="1"/>
    <col min="3" max="3" width="12.7109375" style="466" customWidth="1"/>
    <col min="4" max="4" width="9.5703125" style="467" customWidth="1"/>
    <col min="5" max="5" width="18.7109375" style="466" customWidth="1"/>
    <col min="6" max="6" width="3.42578125" style="468" customWidth="1"/>
    <col min="7" max="8" width="9.5703125" style="466" customWidth="1"/>
    <col min="9" max="9" width="9.5703125" style="468" customWidth="1"/>
    <col min="10" max="11" width="9.5703125" style="466" customWidth="1"/>
    <col min="12" max="16384" width="10.7109375" style="466"/>
  </cols>
  <sheetData>
    <row r="1" spans="1:19">
      <c r="A1" s="786"/>
      <c r="B1" s="786"/>
      <c r="C1" s="638"/>
      <c r="D1" s="639"/>
      <c r="E1" s="638"/>
      <c r="F1" s="640"/>
      <c r="G1" s="469"/>
      <c r="H1" s="787"/>
      <c r="I1" s="788"/>
      <c r="J1" s="788"/>
      <c r="K1" s="465"/>
    </row>
    <row r="2" spans="1:19">
      <c r="A2" s="638"/>
      <c r="B2" s="638"/>
      <c r="C2" s="638"/>
      <c r="D2" s="639"/>
      <c r="E2" s="638"/>
      <c r="F2" s="640"/>
      <c r="G2" s="469"/>
      <c r="H2" s="470" t="s">
        <v>330</v>
      </c>
      <c r="I2" s="471"/>
      <c r="J2" s="471"/>
      <c r="K2" s="469"/>
    </row>
    <row r="3" spans="1:19">
      <c r="A3" s="638"/>
      <c r="B3" s="638"/>
      <c r="C3" s="638"/>
      <c r="D3" s="639"/>
      <c r="E3" s="638"/>
      <c r="F3" s="640"/>
      <c r="G3" s="469"/>
      <c r="H3" s="472"/>
      <c r="I3" s="466"/>
      <c r="J3" s="471"/>
      <c r="K3" s="469"/>
    </row>
    <row r="4" spans="1:19">
      <c r="A4" s="638"/>
      <c r="B4" s="638"/>
      <c r="C4" s="638"/>
      <c r="D4" s="639"/>
      <c r="E4" s="638"/>
      <c r="F4" s="640"/>
      <c r="G4" s="469"/>
      <c r="H4" s="472" t="s">
        <v>331</v>
      </c>
      <c r="I4" s="466"/>
      <c r="J4" s="471"/>
      <c r="K4" s="469"/>
    </row>
    <row r="5" spans="1:19">
      <c r="A5" s="638"/>
      <c r="B5" s="638"/>
      <c r="C5" s="638"/>
      <c r="D5" s="639"/>
      <c r="E5" s="638"/>
      <c r="F5" s="640"/>
      <c r="G5" s="469"/>
      <c r="H5" s="472" t="s">
        <v>332</v>
      </c>
      <c r="I5" s="466"/>
      <c r="J5" s="471"/>
      <c r="K5" s="469"/>
    </row>
    <row r="6" spans="1:19">
      <c r="A6" s="638"/>
      <c r="B6" s="638"/>
      <c r="C6" s="638"/>
      <c r="D6" s="639"/>
      <c r="E6" s="638"/>
      <c r="F6" s="640"/>
      <c r="G6" s="469"/>
      <c r="H6" s="472" t="s">
        <v>333</v>
      </c>
      <c r="J6" s="471"/>
      <c r="K6" s="469"/>
    </row>
    <row r="7" spans="1:19">
      <c r="A7" s="473"/>
      <c r="B7" s="473"/>
      <c r="C7" s="473"/>
      <c r="D7" s="474"/>
      <c r="E7" s="473"/>
      <c r="F7" s="626"/>
      <c r="G7" s="476"/>
      <c r="H7" s="477" t="s">
        <v>772</v>
      </c>
      <c r="I7" s="475"/>
      <c r="J7" s="473"/>
      <c r="K7" s="476"/>
    </row>
    <row r="8" spans="1:19">
      <c r="A8" s="787" t="s">
        <v>537</v>
      </c>
      <c r="B8" s="789"/>
      <c r="C8" s="787" t="s">
        <v>538</v>
      </c>
      <c r="D8" s="789"/>
      <c r="E8" s="478" t="s">
        <v>862</v>
      </c>
      <c r="F8" s="479"/>
      <c r="G8" s="787" t="s">
        <v>571</v>
      </c>
      <c r="H8" s="788"/>
      <c r="I8" s="788"/>
      <c r="J8" s="790"/>
      <c r="K8" s="791"/>
    </row>
    <row r="9" spans="1:19" s="468" customFormat="1">
      <c r="A9" s="792" t="s">
        <v>572</v>
      </c>
      <c r="B9" s="793"/>
      <c r="C9" s="794">
        <v>45436</v>
      </c>
      <c r="D9" s="795"/>
      <c r="E9" s="796" t="s">
        <v>894</v>
      </c>
      <c r="F9" s="796"/>
      <c r="G9" s="792" t="s">
        <v>296</v>
      </c>
      <c r="H9" s="796"/>
      <c r="I9" s="796"/>
      <c r="J9" s="796"/>
      <c r="K9" s="793"/>
    </row>
    <row r="10" spans="1:19" ht="31.5" customHeight="1">
      <c r="A10" s="480" t="s">
        <v>544</v>
      </c>
      <c r="B10" s="797" t="s">
        <v>545</v>
      </c>
      <c r="C10" s="798"/>
      <c r="D10" s="798"/>
      <c r="E10" s="799"/>
      <c r="F10" s="481" t="s">
        <v>546</v>
      </c>
      <c r="G10" s="482" t="s">
        <v>547</v>
      </c>
      <c r="H10" s="482" t="s">
        <v>573</v>
      </c>
      <c r="I10" s="480" t="s">
        <v>574</v>
      </c>
      <c r="J10" s="482" t="s">
        <v>549</v>
      </c>
      <c r="K10" s="482" t="s">
        <v>575</v>
      </c>
    </row>
    <row r="11" spans="1:19" ht="15">
      <c r="A11" s="483"/>
      <c r="B11" s="484" t="s">
        <v>552</v>
      </c>
      <c r="C11" s="485"/>
      <c r="D11" s="486"/>
      <c r="E11" s="487"/>
      <c r="F11" s="488"/>
      <c r="G11" s="488"/>
      <c r="H11" s="577"/>
      <c r="I11" s="578"/>
      <c r="J11" s="489"/>
      <c r="K11" s="490"/>
    </row>
    <row r="12" spans="1:19" ht="15">
      <c r="A12" s="491" t="str">
        <f t="array" ref="A12">IFERROR(INDEX(productsSku, SMALL(IF(productsQty&lt;&gt;0, ROW(productsQty)-ROW('BHPC MANAGER'!$CD$10)+1), ROW(L1))), "")</f>
        <v>P06003</v>
      </c>
      <c r="B12" s="483" t="str">
        <f t="array" ref="B12">IFERROR(INDEX(productsDescription, SMALL(IF(productsQty&lt;&gt;0, ROW(productsQty)-ROW('BHPC MANAGER'!$CD$10)+1), ROW(L1))), "")</f>
        <v>BHPC PRESTIGE TITAN 100ML EDP MEN</v>
      </c>
      <c r="C12" s="492"/>
      <c r="D12" s="493"/>
      <c r="E12" s="494"/>
      <c r="F12" s="495" t="str">
        <f>IF(A12="","","PC")</f>
        <v>PC</v>
      </c>
      <c r="G12" s="496">
        <f t="array" ref="G12">IFERROR(INDEX(productsQty, SMALL(IF(productsQty&lt;&gt;0, ROW(productsQty)-ROW('BHPC MANAGER'!$CD$10)+1), ROW(L1))), "")</f>
        <v>720</v>
      </c>
      <c r="H12" s="579">
        <f>IF(A12="","",ROUND(G12/VLOOKUP(A12,bhpc_data[],9,FALSE)*VLOOKUP(A12,bhpc_data[],17,FALSE),1))</f>
        <v>284.39999999999998</v>
      </c>
      <c r="I12" s="580">
        <f>IF(A12="","",ROUND(G12/VLOOKUP(A12,bhpc_data[],9,FALSE)*VLOOKUP(A12,bhpc_data[],18,FALSE),1))</f>
        <v>297</v>
      </c>
      <c r="J12" s="497">
        <f>IF(A12="","",CEILING(G12/VLOOKUP(A12,bhpc_data[],9,FALSE),1))</f>
        <v>30</v>
      </c>
      <c r="K12" s="498" t="str">
        <f t="array" ref="K12">VLOOKUP(A12,bhpc_data[],26,FALSE)</f>
        <v>SPAIN</v>
      </c>
      <c r="M12" s="670"/>
      <c r="R12" s="575"/>
      <c r="S12" s="575"/>
    </row>
    <row r="13" spans="1:19" ht="15">
      <c r="A13" s="491"/>
      <c r="B13" s="483"/>
      <c r="C13" s="492"/>
      <c r="D13" s="493"/>
      <c r="E13" s="494"/>
      <c r="F13" s="495"/>
      <c r="G13" s="496"/>
      <c r="H13" s="579"/>
      <c r="I13" s="580"/>
      <c r="J13" s="497"/>
      <c r="K13" s="498"/>
      <c r="M13" s="670"/>
      <c r="R13" s="575"/>
      <c r="S13" s="575"/>
    </row>
    <row r="14" spans="1:19" ht="15">
      <c r="A14" s="491"/>
      <c r="B14" s="483"/>
      <c r="C14" s="492"/>
      <c r="D14" s="493"/>
      <c r="E14" s="494"/>
      <c r="F14" s="495"/>
      <c r="G14" s="496"/>
      <c r="H14" s="579"/>
      <c r="I14" s="580"/>
      <c r="J14" s="497"/>
      <c r="K14" s="498"/>
      <c r="M14" s="670"/>
      <c r="R14" s="575"/>
      <c r="S14" s="575"/>
    </row>
    <row r="15" spans="1:19" ht="15">
      <c r="A15" s="491"/>
      <c r="B15" s="483"/>
      <c r="C15" s="492"/>
      <c r="D15" s="493"/>
      <c r="E15" s="494"/>
      <c r="F15" s="495"/>
      <c r="G15" s="496"/>
      <c r="H15" s="579"/>
      <c r="I15" s="580"/>
      <c r="J15" s="497"/>
      <c r="K15" s="498"/>
      <c r="M15" s="670"/>
      <c r="R15" s="575"/>
      <c r="S15" s="575"/>
    </row>
    <row r="16" spans="1:19" ht="15">
      <c r="A16" s="491"/>
      <c r="B16" s="483"/>
      <c r="C16" s="492"/>
      <c r="D16" s="493"/>
      <c r="E16" s="494"/>
      <c r="F16" s="495"/>
      <c r="G16" s="496"/>
      <c r="H16" s="579"/>
      <c r="I16" s="580"/>
      <c r="J16" s="497"/>
      <c r="K16" s="498"/>
      <c r="M16" s="670"/>
      <c r="R16" s="575"/>
      <c r="S16" s="575"/>
    </row>
    <row r="17" spans="1:19" ht="15">
      <c r="A17" s="491"/>
      <c r="B17" s="483"/>
      <c r="C17" s="492"/>
      <c r="D17" s="493"/>
      <c r="E17" s="494"/>
      <c r="F17" s="495"/>
      <c r="G17" s="496"/>
      <c r="H17" s="579"/>
      <c r="I17" s="580"/>
      <c r="J17" s="497"/>
      <c r="K17" s="498"/>
      <c r="M17" s="670"/>
      <c r="R17" s="575"/>
      <c r="S17" s="575"/>
    </row>
    <row r="18" spans="1:19" ht="15">
      <c r="A18" s="491"/>
      <c r="B18" s="483"/>
      <c r="C18" s="492"/>
      <c r="D18" s="493"/>
      <c r="E18" s="494"/>
      <c r="F18" s="495"/>
      <c r="G18" s="496"/>
      <c r="H18" s="579"/>
      <c r="I18" s="580"/>
      <c r="J18" s="497"/>
      <c r="K18" s="498"/>
      <c r="M18" s="670"/>
      <c r="R18" s="575"/>
      <c r="S18" s="575"/>
    </row>
    <row r="19" spans="1:19" ht="15">
      <c r="A19" s="491"/>
      <c r="B19" s="483"/>
      <c r="C19" s="492"/>
      <c r="D19" s="493"/>
      <c r="E19" s="494"/>
      <c r="F19" s="495"/>
      <c r="G19" s="496"/>
      <c r="H19" s="579"/>
      <c r="I19" s="580"/>
      <c r="J19" s="497"/>
      <c r="K19" s="498"/>
      <c r="M19" s="670"/>
      <c r="R19" s="575"/>
      <c r="S19" s="575"/>
    </row>
    <row r="20" spans="1:19" ht="15">
      <c r="A20" s="491"/>
      <c r="B20" s="483"/>
      <c r="C20" s="492"/>
      <c r="D20" s="493"/>
      <c r="E20" s="494"/>
      <c r="F20" s="495"/>
      <c r="G20" s="496"/>
      <c r="H20" s="579"/>
      <c r="I20" s="580"/>
      <c r="J20" s="497"/>
      <c r="K20" s="498"/>
      <c r="M20" s="670"/>
      <c r="R20" s="575"/>
      <c r="S20" s="575"/>
    </row>
    <row r="21" spans="1:19" ht="15">
      <c r="A21" s="491"/>
      <c r="B21" s="483"/>
      <c r="C21" s="492"/>
      <c r="D21" s="493"/>
      <c r="E21" s="494"/>
      <c r="F21" s="495"/>
      <c r="G21" s="496"/>
      <c r="H21" s="579"/>
      <c r="I21" s="580"/>
      <c r="J21" s="497"/>
      <c r="K21" s="498"/>
      <c r="M21" s="670"/>
      <c r="R21" s="575"/>
      <c r="S21" s="575"/>
    </row>
    <row r="22" spans="1:19" ht="15">
      <c r="A22" s="491"/>
      <c r="B22" s="483"/>
      <c r="C22" s="492"/>
      <c r="D22" s="493"/>
      <c r="E22" s="494"/>
      <c r="F22" s="495"/>
      <c r="G22" s="496"/>
      <c r="H22" s="579"/>
      <c r="I22" s="580"/>
      <c r="J22" s="497"/>
      <c r="K22" s="498"/>
      <c r="M22" s="670"/>
      <c r="R22" s="575"/>
      <c r="S22" s="575"/>
    </row>
    <row r="23" spans="1:19" ht="15">
      <c r="A23" s="491"/>
      <c r="B23" s="483"/>
      <c r="C23" s="492"/>
      <c r="D23" s="493"/>
      <c r="E23" s="494"/>
      <c r="F23" s="495"/>
      <c r="G23" s="496"/>
      <c r="H23" s="579"/>
      <c r="I23" s="580"/>
      <c r="J23" s="497"/>
      <c r="K23" s="498"/>
      <c r="M23" s="670"/>
      <c r="R23" s="575"/>
      <c r="S23" s="575"/>
    </row>
    <row r="24" spans="1:19" ht="15">
      <c r="A24" s="491"/>
      <c r="B24" s="483"/>
      <c r="C24" s="492"/>
      <c r="D24" s="493"/>
      <c r="E24" s="494"/>
      <c r="F24" s="495"/>
      <c r="G24" s="496"/>
      <c r="H24" s="579"/>
      <c r="I24" s="580"/>
      <c r="J24" s="497"/>
      <c r="K24" s="498"/>
      <c r="R24" s="575"/>
      <c r="S24" s="575"/>
    </row>
    <row r="25" spans="1:19" ht="15">
      <c r="A25" s="491"/>
      <c r="B25" s="483"/>
      <c r="C25" s="492"/>
      <c r="D25" s="493"/>
      <c r="E25" s="494"/>
      <c r="F25" s="495"/>
      <c r="G25" s="496"/>
      <c r="H25" s="579"/>
      <c r="I25" s="580"/>
      <c r="J25" s="497"/>
      <c r="K25" s="498"/>
      <c r="R25" s="575"/>
      <c r="S25" s="575"/>
    </row>
    <row r="26" spans="1:19" ht="15">
      <c r="A26" s="491"/>
      <c r="B26" s="483"/>
      <c r="C26" s="492"/>
      <c r="D26" s="493"/>
      <c r="E26" s="494"/>
      <c r="F26" s="495"/>
      <c r="G26" s="496"/>
      <c r="H26" s="579"/>
      <c r="I26" s="580"/>
      <c r="J26" s="497"/>
      <c r="K26" s="498"/>
      <c r="R26" s="575"/>
      <c r="S26" s="575"/>
    </row>
    <row r="27" spans="1:19" ht="15">
      <c r="A27" s="491"/>
      <c r="B27" s="483"/>
      <c r="C27" s="492"/>
      <c r="D27" s="493"/>
      <c r="E27" s="494"/>
      <c r="F27" s="495"/>
      <c r="G27" s="496"/>
      <c r="H27" s="579"/>
      <c r="I27" s="580"/>
      <c r="J27" s="497"/>
      <c r="K27" s="498"/>
      <c r="R27" s="575"/>
      <c r="S27" s="575"/>
    </row>
    <row r="28" spans="1:19" ht="15">
      <c r="A28" s="491"/>
      <c r="B28" s="483"/>
      <c r="C28" s="492"/>
      <c r="D28" s="493"/>
      <c r="E28" s="494"/>
      <c r="F28" s="495"/>
      <c r="G28" s="496"/>
      <c r="H28" s="579"/>
      <c r="I28" s="580"/>
      <c r="J28" s="497"/>
      <c r="K28" s="498"/>
      <c r="R28" s="575"/>
      <c r="S28" s="575"/>
    </row>
    <row r="29" spans="1:19" ht="15">
      <c r="A29" s="491"/>
      <c r="B29" s="483"/>
      <c r="C29" s="492"/>
      <c r="D29" s="493"/>
      <c r="E29" s="494"/>
      <c r="F29" s="495"/>
      <c r="G29" s="496"/>
      <c r="H29" s="579"/>
      <c r="I29" s="580"/>
      <c r="J29" s="497"/>
      <c r="K29" s="498"/>
      <c r="R29" s="575"/>
      <c r="S29" s="575"/>
    </row>
    <row r="30" spans="1:19" ht="15">
      <c r="A30" s="491"/>
      <c r="B30" s="483"/>
      <c r="C30" s="492"/>
      <c r="D30" s="493"/>
      <c r="E30" s="494"/>
      <c r="F30" s="495"/>
      <c r="G30" s="496"/>
      <c r="H30" s="579"/>
      <c r="I30" s="580"/>
      <c r="J30" s="497"/>
      <c r="K30" s="498"/>
      <c r="R30" s="575"/>
      <c r="S30" s="575"/>
    </row>
    <row r="31" spans="1:19" ht="15">
      <c r="A31" s="491"/>
      <c r="B31" s="483"/>
      <c r="C31" s="492"/>
      <c r="D31" s="493"/>
      <c r="E31" s="494"/>
      <c r="F31" s="495"/>
      <c r="G31" s="496"/>
      <c r="H31" s="579"/>
      <c r="I31" s="580"/>
      <c r="J31" s="497"/>
      <c r="K31" s="498"/>
      <c r="R31" s="575"/>
      <c r="S31" s="575"/>
    </row>
    <row r="32" spans="1:19" ht="15">
      <c r="A32" s="491"/>
      <c r="B32" s="483"/>
      <c r="C32" s="492"/>
      <c r="D32" s="493"/>
      <c r="E32" s="494"/>
      <c r="F32" s="495"/>
      <c r="G32" s="496"/>
      <c r="H32" s="579"/>
      <c r="I32" s="580"/>
      <c r="J32" s="497"/>
      <c r="K32" s="498"/>
      <c r="R32" s="575"/>
      <c r="S32" s="575"/>
    </row>
    <row r="33" spans="1:19" ht="15">
      <c r="A33" s="491"/>
      <c r="B33" s="483"/>
      <c r="C33" s="492"/>
      <c r="D33" s="493"/>
      <c r="E33" s="494"/>
      <c r="F33" s="495"/>
      <c r="G33" s="496"/>
      <c r="H33" s="579"/>
      <c r="I33" s="580"/>
      <c r="J33" s="497"/>
      <c r="K33" s="498"/>
      <c r="R33" s="575"/>
      <c r="S33" s="575"/>
    </row>
    <row r="34" spans="1:19" ht="15">
      <c r="A34" s="491"/>
      <c r="B34" s="483"/>
      <c r="C34" s="492"/>
      <c r="D34" s="493"/>
      <c r="E34" s="494"/>
      <c r="F34" s="495"/>
      <c r="G34" s="496"/>
      <c r="H34" s="579"/>
      <c r="I34" s="580"/>
      <c r="J34" s="497"/>
      <c r="K34" s="498"/>
      <c r="R34" s="575"/>
      <c r="S34" s="575"/>
    </row>
    <row r="35" spans="1:19" ht="15">
      <c r="A35" s="491"/>
      <c r="B35" s="483"/>
      <c r="C35" s="492"/>
      <c r="D35" s="493"/>
      <c r="E35" s="494"/>
      <c r="F35" s="495"/>
      <c r="G35" s="496"/>
      <c r="H35" s="579"/>
      <c r="I35" s="580"/>
      <c r="J35" s="497"/>
      <c r="K35" s="498"/>
      <c r="R35" s="575"/>
      <c r="S35" s="575"/>
    </row>
    <row r="36" spans="1:19" ht="15">
      <c r="A36" s="491"/>
      <c r="B36" s="483"/>
      <c r="C36" s="492"/>
      <c r="D36" s="493"/>
      <c r="E36" s="494"/>
      <c r="F36" s="495"/>
      <c r="G36" s="496"/>
      <c r="H36" s="579"/>
      <c r="I36" s="580"/>
      <c r="J36" s="497"/>
      <c r="K36" s="498"/>
      <c r="R36" s="575"/>
      <c r="S36" s="575"/>
    </row>
    <row r="37" spans="1:19" ht="15">
      <c r="A37" s="491"/>
      <c r="B37" s="483"/>
      <c r="C37" s="492"/>
      <c r="D37" s="493"/>
      <c r="E37" s="494"/>
      <c r="F37" s="495"/>
      <c r="G37" s="496"/>
      <c r="H37" s="579"/>
      <c r="I37" s="580"/>
      <c r="J37" s="497"/>
      <c r="K37" s="498"/>
      <c r="R37" s="575"/>
      <c r="S37" s="575"/>
    </row>
    <row r="38" spans="1:19" ht="15">
      <c r="A38" s="491"/>
      <c r="B38" s="483"/>
      <c r="C38" s="492"/>
      <c r="D38" s="493"/>
      <c r="E38" s="494"/>
      <c r="F38" s="495"/>
      <c r="G38" s="496"/>
      <c r="H38" s="579"/>
      <c r="I38" s="580"/>
      <c r="J38" s="497"/>
      <c r="K38" s="498"/>
    </row>
    <row r="39" spans="1:19" ht="15">
      <c r="A39" s="491"/>
      <c r="B39" s="483"/>
      <c r="C39" s="492"/>
      <c r="D39" s="493"/>
      <c r="E39" s="494"/>
      <c r="F39" s="495"/>
      <c r="G39" s="496"/>
      <c r="H39" s="579"/>
      <c r="I39" s="580"/>
      <c r="J39" s="497"/>
      <c r="K39" s="498"/>
    </row>
    <row r="40" spans="1:19" ht="15">
      <c r="A40" s="491"/>
      <c r="B40" s="483"/>
      <c r="C40" s="492"/>
      <c r="D40" s="493"/>
      <c r="E40" s="494"/>
      <c r="F40" s="495"/>
      <c r="G40" s="496"/>
      <c r="H40" s="579"/>
      <c r="I40" s="580"/>
      <c r="J40" s="497"/>
      <c r="K40" s="498"/>
    </row>
    <row r="41" spans="1:19" ht="15">
      <c r="A41" s="491"/>
      <c r="B41" s="483"/>
      <c r="C41" s="492"/>
      <c r="D41" s="493"/>
      <c r="E41" s="494"/>
      <c r="F41" s="495"/>
      <c r="G41" s="496"/>
      <c r="H41" s="579"/>
      <c r="I41" s="580"/>
      <c r="J41" s="497"/>
      <c r="K41" s="498"/>
    </row>
    <row r="42" spans="1:19" ht="15">
      <c r="A42" s="491"/>
      <c r="B42" s="483"/>
      <c r="C42" s="492"/>
      <c r="D42" s="493"/>
      <c r="E42" s="494"/>
      <c r="F42" s="495"/>
      <c r="G42" s="496"/>
      <c r="H42" s="579"/>
      <c r="I42" s="580"/>
      <c r="J42" s="497"/>
      <c r="K42" s="498"/>
    </row>
    <row r="43" spans="1:19" ht="15">
      <c r="A43" s="491"/>
      <c r="B43" s="483"/>
      <c r="C43" s="492"/>
      <c r="D43" s="493"/>
      <c r="E43" s="494"/>
      <c r="F43" s="495"/>
      <c r="G43" s="496"/>
      <c r="H43" s="579"/>
      <c r="I43" s="580"/>
      <c r="J43" s="497"/>
      <c r="K43" s="498"/>
    </row>
    <row r="44" spans="1:19" ht="15">
      <c r="A44" s="491"/>
      <c r="B44" s="483"/>
      <c r="C44" s="492"/>
      <c r="D44" s="493"/>
      <c r="E44" s="494"/>
      <c r="F44" s="495"/>
      <c r="G44" s="496"/>
      <c r="H44" s="579"/>
      <c r="I44" s="580"/>
      <c r="J44" s="497"/>
      <c r="K44" s="498"/>
    </row>
    <row r="45" spans="1:19" ht="15">
      <c r="A45" s="491"/>
      <c r="B45" s="483"/>
      <c r="C45" s="492"/>
      <c r="D45" s="493"/>
      <c r="E45" s="494"/>
      <c r="F45" s="495"/>
      <c r="G45" s="496"/>
      <c r="H45" s="579"/>
      <c r="I45" s="580"/>
      <c r="J45" s="497"/>
      <c r="K45" s="498"/>
    </row>
    <row r="46" spans="1:19" ht="15">
      <c r="A46" s="491"/>
      <c r="B46" s="483"/>
      <c r="C46" s="492"/>
      <c r="D46" s="493"/>
      <c r="E46" s="494"/>
      <c r="F46" s="495"/>
      <c r="G46" s="496"/>
      <c r="H46" s="579"/>
      <c r="I46" s="580"/>
      <c r="J46" s="497"/>
      <c r="K46" s="498"/>
    </row>
    <row r="47" spans="1:19" ht="15">
      <c r="A47" s="491"/>
      <c r="B47" s="483"/>
      <c r="C47" s="492"/>
      <c r="D47" s="493"/>
      <c r="E47" s="494"/>
      <c r="F47" s="495"/>
      <c r="G47" s="496"/>
      <c r="H47" s="579"/>
      <c r="I47" s="580"/>
      <c r="J47" s="497"/>
      <c r="K47" s="498"/>
    </row>
    <row r="48" spans="1:19" ht="15">
      <c r="A48" s="491"/>
      <c r="B48" s="483"/>
      <c r="C48" s="492"/>
      <c r="D48" s="493"/>
      <c r="E48" s="494"/>
      <c r="F48" s="495"/>
      <c r="G48" s="496"/>
      <c r="H48" s="579"/>
      <c r="I48" s="580"/>
      <c r="J48" s="497"/>
      <c r="K48" s="498"/>
    </row>
    <row r="49" spans="1:14" ht="15">
      <c r="A49" s="491"/>
      <c r="B49" s="483"/>
      <c r="C49" s="492"/>
      <c r="D49" s="493"/>
      <c r="E49" s="494"/>
      <c r="F49" s="495"/>
      <c r="G49" s="496"/>
      <c r="H49" s="579"/>
      <c r="I49" s="580"/>
      <c r="J49" s="497"/>
      <c r="K49" s="498"/>
    </row>
    <row r="50" spans="1:14" ht="15">
      <c r="A50" s="491"/>
      <c r="B50" s="483"/>
      <c r="C50" s="492"/>
      <c r="D50" s="493"/>
      <c r="E50" s="494"/>
      <c r="F50" s="495"/>
      <c r="G50" s="496"/>
      <c r="H50" s="579"/>
      <c r="I50" s="580"/>
      <c r="J50" s="497"/>
      <c r="K50" s="498"/>
    </row>
    <row r="51" spans="1:14" ht="15">
      <c r="A51" s="491"/>
      <c r="B51" s="483"/>
      <c r="C51" s="492"/>
      <c r="D51" s="493"/>
      <c r="E51" s="494"/>
      <c r="F51" s="495"/>
      <c r="G51" s="496"/>
      <c r="H51" s="579"/>
      <c r="I51" s="580"/>
      <c r="J51" s="497"/>
      <c r="K51" s="498"/>
    </row>
    <row r="52" spans="1:14" ht="15">
      <c r="A52" s="491"/>
      <c r="B52" s="483"/>
      <c r="C52" s="492"/>
      <c r="D52" s="493"/>
      <c r="E52" s="494"/>
      <c r="F52" s="495"/>
      <c r="G52" s="496"/>
      <c r="H52" s="579"/>
      <c r="I52" s="580"/>
      <c r="J52" s="497"/>
      <c r="K52" s="498"/>
    </row>
    <row r="53" spans="1:14" ht="15">
      <c r="A53" s="491"/>
      <c r="B53" s="483"/>
      <c r="C53" s="492"/>
      <c r="D53" s="493"/>
      <c r="E53" s="494"/>
      <c r="F53" s="495"/>
      <c r="G53" s="496"/>
      <c r="H53" s="579"/>
      <c r="I53" s="580"/>
      <c r="J53" s="497"/>
      <c r="K53" s="498"/>
    </row>
    <row r="54" spans="1:14" ht="15">
      <c r="A54" s="491"/>
      <c r="B54" s="483"/>
      <c r="C54" s="492"/>
      <c r="D54" s="493"/>
      <c r="E54" s="494"/>
      <c r="F54" s="495"/>
      <c r="G54" s="496"/>
      <c r="H54" s="579"/>
      <c r="I54" s="580"/>
      <c r="J54" s="497"/>
      <c r="K54" s="498"/>
    </row>
    <row r="55" spans="1:14">
      <c r="A55" s="499"/>
      <c r="B55" s="500"/>
      <c r="C55" s="478"/>
      <c r="D55" s="501"/>
      <c r="E55" s="478"/>
      <c r="F55" s="502"/>
      <c r="G55" s="499" t="s">
        <v>576</v>
      </c>
      <c r="H55" s="500"/>
      <c r="I55" s="499" t="s">
        <v>577</v>
      </c>
      <c r="J55" s="500"/>
      <c r="K55" s="503"/>
    </row>
    <row r="56" spans="1:14" s="508" customFormat="1" ht="15" customHeight="1">
      <c r="A56" s="504"/>
      <c r="B56" s="505"/>
      <c r="C56" s="505"/>
      <c r="D56" s="506"/>
      <c r="E56" s="505"/>
      <c r="F56" s="507"/>
      <c r="G56" s="800"/>
      <c r="H56" s="802"/>
      <c r="I56" s="800"/>
      <c r="J56" s="801"/>
      <c r="K56" s="802"/>
    </row>
    <row r="57" spans="1:14" s="516" customFormat="1">
      <c r="A57" s="509" t="s">
        <v>578</v>
      </c>
      <c r="B57" s="510"/>
      <c r="C57" s="511" t="s">
        <v>579</v>
      </c>
      <c r="D57" s="512"/>
      <c r="E57" s="513" t="s">
        <v>580</v>
      </c>
      <c r="F57" s="514"/>
      <c r="G57" s="513" t="s">
        <v>581</v>
      </c>
      <c r="H57" s="478"/>
      <c r="I57" s="513" t="s">
        <v>582</v>
      </c>
      <c r="J57" s="478"/>
      <c r="K57" s="515"/>
      <c r="M57" s="466"/>
      <c r="N57" s="466"/>
    </row>
    <row r="58" spans="1:14" s="508" customFormat="1" ht="15" customHeight="1">
      <c r="A58" s="800">
        <f>SUM($G$11:$G$54)</f>
        <v>720</v>
      </c>
      <c r="B58" s="802"/>
      <c r="C58" s="805">
        <f>SUM($J$11:$J$54)</f>
        <v>30</v>
      </c>
      <c r="D58" s="802"/>
      <c r="E58" s="800">
        <v>1</v>
      </c>
      <c r="F58" s="802"/>
      <c r="G58" s="800" t="s">
        <v>759</v>
      </c>
      <c r="H58" s="802"/>
      <c r="I58" s="800"/>
      <c r="J58" s="801"/>
      <c r="K58" s="802"/>
    </row>
    <row r="59" spans="1:14" s="516" customFormat="1">
      <c r="A59" s="499" t="s">
        <v>583</v>
      </c>
      <c r="B59" s="503"/>
      <c r="C59" s="513" t="s">
        <v>584</v>
      </c>
      <c r="D59" s="517"/>
      <c r="E59" s="511" t="s">
        <v>585</v>
      </c>
      <c r="G59" s="513" t="s">
        <v>586</v>
      </c>
      <c r="H59" s="478"/>
      <c r="I59" s="478"/>
      <c r="J59" s="500"/>
      <c r="K59" s="503"/>
      <c r="M59" s="466"/>
      <c r="N59" s="466"/>
    </row>
    <row r="60" spans="1:14" s="508" customFormat="1" ht="15" customHeight="1">
      <c r="A60" s="803">
        <f>SUM(H11:$H$54)</f>
        <v>284.39999999999998</v>
      </c>
      <c r="B60" s="804"/>
      <c r="C60" s="803">
        <f>SUM($I$11:$I$54)</f>
        <v>297</v>
      </c>
      <c r="D60" s="804"/>
      <c r="E60" s="803">
        <v>317</v>
      </c>
      <c r="F60" s="804"/>
      <c r="G60" s="518"/>
      <c r="H60" s="519"/>
      <c r="I60" s="519"/>
      <c r="J60" s="519"/>
      <c r="K60" s="520"/>
    </row>
    <row r="61" spans="1:14" ht="15.75">
      <c r="A61" s="513" t="s">
        <v>587</v>
      </c>
      <c r="B61" s="478"/>
      <c r="C61" s="478"/>
      <c r="D61" s="478"/>
      <c r="E61" s="521"/>
      <c r="F61" s="465"/>
      <c r="G61" s="522"/>
      <c r="H61" s="523"/>
      <c r="I61" s="523"/>
      <c r="J61" s="524"/>
      <c r="K61" s="525"/>
    </row>
    <row r="62" spans="1:14" ht="15.75">
      <c r="A62" s="526"/>
      <c r="B62" s="527"/>
      <c r="C62" s="519"/>
      <c r="D62" s="519"/>
      <c r="E62" s="519"/>
      <c r="F62" s="528"/>
      <c r="G62" s="522"/>
      <c r="H62" s="523"/>
      <c r="I62" s="523"/>
      <c r="J62" s="523"/>
      <c r="K62" s="525"/>
    </row>
    <row r="63" spans="1:14" ht="15.75">
      <c r="A63" s="526"/>
      <c r="B63" s="519"/>
      <c r="C63" s="519"/>
      <c r="D63" s="529"/>
      <c r="E63" s="519"/>
      <c r="F63" s="528"/>
      <c r="G63" s="522"/>
      <c r="H63" s="523"/>
      <c r="I63" s="523"/>
      <c r="J63" s="523"/>
      <c r="K63" s="525"/>
    </row>
    <row r="64" spans="1:14" ht="15.75">
      <c r="A64" s="504"/>
      <c r="B64" s="505"/>
      <c r="C64" s="505"/>
      <c r="D64" s="506"/>
      <c r="E64" s="505"/>
      <c r="F64" s="507"/>
      <c r="G64" s="530"/>
      <c r="H64" s="531"/>
      <c r="I64" s="531"/>
      <c r="J64" s="531"/>
      <c r="K64" s="532"/>
    </row>
  </sheetData>
  <mergeCells count="22">
    <mergeCell ref="B10:E10"/>
    <mergeCell ref="I58:K58"/>
    <mergeCell ref="I56:K56"/>
    <mergeCell ref="G56:H56"/>
    <mergeCell ref="A60:B60"/>
    <mergeCell ref="G58:H58"/>
    <mergeCell ref="C60:D60"/>
    <mergeCell ref="E60:F60"/>
    <mergeCell ref="E58:F58"/>
    <mergeCell ref="C58:D58"/>
    <mergeCell ref="A58:B58"/>
    <mergeCell ref="A9:B9"/>
    <mergeCell ref="C9:D9"/>
    <mergeCell ref="E9:F9"/>
    <mergeCell ref="G9:I9"/>
    <mergeCell ref="J9:K9"/>
    <mergeCell ref="A1:B1"/>
    <mergeCell ref="H1:J1"/>
    <mergeCell ref="A8:B8"/>
    <mergeCell ref="C8:D8"/>
    <mergeCell ref="G8:I8"/>
    <mergeCell ref="J8:K8"/>
  </mergeCells>
  <dataValidations disablePrompts="1" count="1">
    <dataValidation type="list" allowBlank="1" showInputMessage="1" showErrorMessage="1" sqref="E9:F9">
      <formula1>"GROUND,SEA,AIR"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Foglio9">
    <pageSetUpPr fitToPage="1"/>
  </sheetPr>
  <dimension ref="A1:T71"/>
  <sheetViews>
    <sheetView topLeftCell="A19" zoomScale="110" zoomScaleNormal="110" workbookViewId="0">
      <selection activeCell="I46" sqref="I46"/>
    </sheetView>
  </sheetViews>
  <sheetFormatPr defaultColWidth="9.140625" defaultRowHeight="15"/>
  <cols>
    <col min="1" max="1" width="8.28515625" style="25" customWidth="1"/>
    <col min="2" max="2" width="31.85546875" style="25" customWidth="1"/>
    <col min="3" max="3" width="19.5703125" style="25" customWidth="1"/>
    <col min="4" max="4" width="10" style="25" customWidth="1"/>
    <col min="5" max="6" width="8.85546875" style="25" customWidth="1"/>
    <col min="7" max="7" width="15.85546875" style="25" customWidth="1"/>
    <col min="8" max="9" width="16.7109375" style="25" customWidth="1"/>
    <col min="10" max="10" width="5.7109375" style="25" customWidth="1"/>
    <col min="11" max="14" width="9.140625" style="25"/>
    <col min="15" max="15" width="6.7109375" style="25" bestFit="1" customWidth="1"/>
    <col min="16" max="16" width="13.42578125" style="25" bestFit="1" customWidth="1"/>
    <col min="17" max="20" width="12.140625" style="25" bestFit="1" customWidth="1"/>
    <col min="21" max="21" width="14.140625" style="25" customWidth="1"/>
    <col min="22" max="16384" width="9.140625" style="25"/>
  </cols>
  <sheetData>
    <row r="1" spans="1:20" ht="20.25">
      <c r="A1" s="23"/>
      <c r="B1" s="24"/>
      <c r="C1" s="24"/>
      <c r="D1" s="24"/>
      <c r="E1" s="881" t="s">
        <v>588</v>
      </c>
      <c r="F1" s="882"/>
      <c r="G1" s="882"/>
      <c r="H1" s="882"/>
      <c r="I1" s="882"/>
      <c r="J1" s="24"/>
      <c r="K1" s="24"/>
      <c r="O1" s="358" t="s">
        <v>868</v>
      </c>
      <c r="P1" s="360">
        <f>SUM(group1dgnvalues)</f>
        <v>581.91892500000006</v>
      </c>
      <c r="Q1" s="360">
        <f>SUM(G32:I32)</f>
        <v>0</v>
      </c>
      <c r="R1" s="360">
        <f>SUM(G33:I33)</f>
        <v>581.91892500000006</v>
      </c>
      <c r="S1" s="361">
        <v>0</v>
      </c>
      <c r="T1" s="361">
        <v>0</v>
      </c>
    </row>
    <row r="2" spans="1:20" ht="12.75" customHeight="1">
      <c r="A2" s="23"/>
      <c r="B2" s="24" t="s">
        <v>589</v>
      </c>
      <c r="C2" s="24"/>
      <c r="D2" s="24"/>
      <c r="E2" s="26"/>
      <c r="F2" s="27"/>
      <c r="G2" s="27"/>
      <c r="H2" s="27"/>
      <c r="I2" s="27"/>
      <c r="J2" s="24"/>
      <c r="K2" s="24"/>
      <c r="O2" s="358" t="s">
        <v>869</v>
      </c>
      <c r="P2" s="360">
        <f>SUM(group2dgnvalues)</f>
        <v>0</v>
      </c>
      <c r="Q2" s="360">
        <f>SUM(group2dgnvalues)</f>
        <v>0</v>
      </c>
      <c r="R2" s="361">
        <v>0</v>
      </c>
      <c r="S2" s="361">
        <v>0</v>
      </c>
      <c r="T2" s="361">
        <v>0</v>
      </c>
    </row>
    <row r="3" spans="1:20" ht="12.75" customHeight="1">
      <c r="A3" s="23"/>
      <c r="B3" s="812" t="s">
        <v>590</v>
      </c>
      <c r="C3" s="814"/>
      <c r="D3" s="813"/>
      <c r="E3" s="812" t="s">
        <v>591</v>
      </c>
      <c r="F3" s="814"/>
      <c r="G3" s="814"/>
      <c r="H3" s="814"/>
      <c r="I3" s="813"/>
      <c r="J3" s="883" t="s">
        <v>592</v>
      </c>
      <c r="K3" s="24"/>
      <c r="O3" s="358" t="s">
        <v>870</v>
      </c>
      <c r="P3" s="360">
        <f>SUM(group3dgnvalues)</f>
        <v>0</v>
      </c>
      <c r="Q3" s="360">
        <f>SUM(G43:I43)</f>
        <v>0</v>
      </c>
      <c r="R3" s="360">
        <f>SUM(G44:I44)</f>
        <v>0</v>
      </c>
      <c r="S3" s="360">
        <f>SUM(G45:I45)</f>
        <v>0</v>
      </c>
      <c r="T3" s="360">
        <f>SUM(G46:I46)</f>
        <v>0</v>
      </c>
    </row>
    <row r="4" spans="1:20" ht="20.25">
      <c r="A4" s="23"/>
      <c r="B4" s="28" t="s">
        <v>593</v>
      </c>
      <c r="C4" s="29"/>
      <c r="D4" s="30"/>
      <c r="E4" s="858"/>
      <c r="F4" s="859"/>
      <c r="G4" s="859"/>
      <c r="H4" s="859"/>
      <c r="I4" s="860"/>
      <c r="J4" s="883"/>
      <c r="K4" s="24"/>
      <c r="P4" s="359" t="s">
        <v>871</v>
      </c>
      <c r="Q4" s="359" t="s">
        <v>872</v>
      </c>
      <c r="R4" s="359" t="s">
        <v>873</v>
      </c>
      <c r="S4" s="359" t="s">
        <v>874</v>
      </c>
      <c r="T4" s="359" t="s">
        <v>875</v>
      </c>
    </row>
    <row r="5" spans="1:20" ht="20.25">
      <c r="A5" s="23"/>
      <c r="B5" s="28" t="s">
        <v>594</v>
      </c>
      <c r="C5" s="29"/>
      <c r="D5" s="30"/>
      <c r="E5" s="886" t="s">
        <v>595</v>
      </c>
      <c r="F5" s="814"/>
      <c r="G5" s="813"/>
      <c r="H5" s="31" t="s">
        <v>596</v>
      </c>
      <c r="I5" s="32"/>
      <c r="J5" s="883"/>
      <c r="K5" s="24"/>
    </row>
    <row r="6" spans="1:20" ht="20.25">
      <c r="A6" s="23"/>
      <c r="B6" s="28" t="s">
        <v>597</v>
      </c>
      <c r="C6" s="29"/>
      <c r="D6" s="30"/>
      <c r="E6" s="33" t="s">
        <v>598</v>
      </c>
      <c r="F6" s="34">
        <v>1</v>
      </c>
      <c r="G6" s="35" t="s">
        <v>599</v>
      </c>
      <c r="H6" s="826"/>
      <c r="I6" s="822"/>
      <c r="J6" s="883"/>
      <c r="K6" s="24"/>
    </row>
    <row r="7" spans="1:20" ht="20.25">
      <c r="A7" s="23"/>
      <c r="B7" s="28" t="s">
        <v>311</v>
      </c>
      <c r="C7" s="29"/>
      <c r="D7" s="30"/>
      <c r="E7" s="812" t="s">
        <v>600</v>
      </c>
      <c r="F7" s="814"/>
      <c r="G7" s="813"/>
      <c r="H7" s="31" t="s">
        <v>601</v>
      </c>
      <c r="I7" s="32"/>
      <c r="J7" s="883"/>
      <c r="K7" s="24"/>
    </row>
    <row r="8" spans="1:20">
      <c r="A8" s="23"/>
      <c r="B8" s="812" t="s">
        <v>602</v>
      </c>
      <c r="C8" s="814"/>
      <c r="D8" s="813"/>
      <c r="E8" s="812" t="s">
        <v>603</v>
      </c>
      <c r="F8" s="814"/>
      <c r="G8" s="814"/>
      <c r="H8" s="814"/>
      <c r="I8" s="813"/>
      <c r="J8" s="883"/>
      <c r="K8" s="24"/>
    </row>
    <row r="9" spans="1:20" ht="20.25">
      <c r="A9" s="23"/>
      <c r="B9" s="363" t="s">
        <v>312</v>
      </c>
      <c r="C9" s="29"/>
      <c r="D9" s="30"/>
      <c r="E9" s="855"/>
      <c r="F9" s="856"/>
      <c r="G9" s="856"/>
      <c r="H9" s="856"/>
      <c r="I9" s="857"/>
      <c r="J9" s="883"/>
      <c r="K9" s="24"/>
    </row>
    <row r="10" spans="1:20" ht="20.25">
      <c r="A10" s="23"/>
      <c r="B10" s="363" t="s">
        <v>767</v>
      </c>
      <c r="C10" s="29"/>
      <c r="D10" s="30"/>
      <c r="E10" s="855"/>
      <c r="F10" s="856"/>
      <c r="G10" s="856"/>
      <c r="H10" s="856"/>
      <c r="I10" s="857"/>
      <c r="J10" s="883"/>
      <c r="K10" s="24"/>
    </row>
    <row r="11" spans="1:20" ht="20.25">
      <c r="A11" s="23"/>
      <c r="B11" s="363" t="s">
        <v>313</v>
      </c>
      <c r="C11" s="29"/>
      <c r="D11" s="30"/>
      <c r="E11" s="855"/>
      <c r="F11" s="856"/>
      <c r="G11" s="856"/>
      <c r="H11" s="856"/>
      <c r="I11" s="857"/>
      <c r="J11" s="883"/>
      <c r="K11" s="24"/>
    </row>
    <row r="12" spans="1:20" ht="20.25">
      <c r="A12" s="23"/>
      <c r="B12" s="363" t="s">
        <v>314</v>
      </c>
      <c r="C12" s="29"/>
      <c r="D12" s="30"/>
      <c r="E12" s="855"/>
      <c r="F12" s="856"/>
      <c r="G12" s="856"/>
      <c r="H12" s="856"/>
      <c r="I12" s="857"/>
      <c r="J12" s="883"/>
      <c r="K12" s="24"/>
    </row>
    <row r="13" spans="1:20" ht="20.25">
      <c r="A13" s="23"/>
      <c r="B13" s="363"/>
      <c r="C13" s="29"/>
      <c r="D13" s="30"/>
      <c r="E13" s="852" t="s">
        <v>604</v>
      </c>
      <c r="F13" s="853"/>
      <c r="G13" s="853"/>
      <c r="H13" s="853"/>
      <c r="I13" s="890"/>
      <c r="J13" s="883"/>
      <c r="K13" s="24"/>
    </row>
    <row r="14" spans="1:20">
      <c r="A14" s="23"/>
      <c r="B14" s="812" t="s">
        <v>605</v>
      </c>
      <c r="C14" s="814"/>
      <c r="D14" s="813"/>
      <c r="E14" s="887" t="s">
        <v>606</v>
      </c>
      <c r="F14" s="888"/>
      <c r="G14" s="888"/>
      <c r="H14" s="888"/>
      <c r="I14" s="889"/>
      <c r="J14" s="883"/>
      <c r="K14" s="24"/>
    </row>
    <row r="15" spans="1:20">
      <c r="A15" s="23"/>
      <c r="B15" s="855"/>
      <c r="C15" s="856"/>
      <c r="D15" s="857"/>
      <c r="E15" s="891" t="s">
        <v>607</v>
      </c>
      <c r="F15" s="892"/>
      <c r="G15" s="892"/>
      <c r="H15" s="892"/>
      <c r="I15" s="893"/>
      <c r="J15" s="883"/>
      <c r="K15" s="24"/>
    </row>
    <row r="16" spans="1:20">
      <c r="A16" s="23"/>
      <c r="B16" s="855"/>
      <c r="C16" s="856"/>
      <c r="D16" s="857"/>
      <c r="E16" s="891"/>
      <c r="F16" s="892"/>
      <c r="G16" s="892"/>
      <c r="H16" s="892"/>
      <c r="I16" s="893"/>
      <c r="J16" s="883"/>
      <c r="K16" s="24"/>
    </row>
    <row r="17" spans="1:11">
      <c r="A17" s="23"/>
      <c r="B17" s="855"/>
      <c r="C17" s="856"/>
      <c r="D17" s="857"/>
      <c r="E17" s="891"/>
      <c r="F17" s="892"/>
      <c r="G17" s="892"/>
      <c r="H17" s="892"/>
      <c r="I17" s="893"/>
      <c r="J17" s="883"/>
      <c r="K17" s="24"/>
    </row>
    <row r="18" spans="1:11">
      <c r="A18" s="23"/>
      <c r="B18" s="858"/>
      <c r="C18" s="859"/>
      <c r="D18" s="860"/>
      <c r="E18" s="894"/>
      <c r="F18" s="895"/>
      <c r="G18" s="895"/>
      <c r="H18" s="895"/>
      <c r="I18" s="896"/>
      <c r="J18" s="883"/>
      <c r="K18" s="24"/>
    </row>
    <row r="19" spans="1:11">
      <c r="A19" s="864" t="s">
        <v>608</v>
      </c>
      <c r="B19" s="812" t="s">
        <v>609</v>
      </c>
      <c r="C19" s="814"/>
      <c r="D19" s="813"/>
      <c r="E19" s="866" t="s">
        <v>610</v>
      </c>
      <c r="F19" s="867"/>
      <c r="G19" s="867"/>
      <c r="H19" s="867"/>
      <c r="I19" s="868"/>
      <c r="J19" s="883"/>
      <c r="K19" s="24"/>
    </row>
    <row r="20" spans="1:11">
      <c r="A20" s="865"/>
      <c r="B20" s="855"/>
      <c r="C20" s="856"/>
      <c r="D20" s="857"/>
      <c r="E20" s="855"/>
      <c r="F20" s="856"/>
      <c r="G20" s="856"/>
      <c r="H20" s="856"/>
      <c r="I20" s="857"/>
      <c r="J20" s="883"/>
      <c r="K20" s="24"/>
    </row>
    <row r="21" spans="1:11" ht="15.75">
      <c r="A21" s="865"/>
      <c r="B21" s="855"/>
      <c r="C21" s="856"/>
      <c r="D21" s="857"/>
      <c r="E21" s="869" t="s">
        <v>611</v>
      </c>
      <c r="F21" s="870"/>
      <c r="G21" s="870"/>
      <c r="H21" s="870"/>
      <c r="I21" s="871"/>
      <c r="J21" s="883"/>
      <c r="K21" s="24"/>
    </row>
    <row r="22" spans="1:11">
      <c r="A22" s="865"/>
      <c r="B22" s="858"/>
      <c r="C22" s="859"/>
      <c r="D22" s="860"/>
      <c r="E22" s="855"/>
      <c r="F22" s="856"/>
      <c r="G22" s="856"/>
      <c r="H22" s="856"/>
      <c r="I22" s="857"/>
      <c r="J22" s="883"/>
      <c r="K22" s="24"/>
    </row>
    <row r="23" spans="1:11" ht="12.75" customHeight="1">
      <c r="A23" s="865"/>
      <c r="B23" s="36" t="s">
        <v>612</v>
      </c>
      <c r="C23" s="812" t="s">
        <v>613</v>
      </c>
      <c r="D23" s="813"/>
      <c r="E23" s="855"/>
      <c r="F23" s="856"/>
      <c r="G23" s="856"/>
      <c r="H23" s="856"/>
      <c r="I23" s="857"/>
      <c r="J23" s="883"/>
      <c r="K23" s="24"/>
    </row>
    <row r="24" spans="1:11">
      <c r="A24" s="865"/>
      <c r="B24" s="37"/>
      <c r="C24" s="877" t="s">
        <v>614</v>
      </c>
      <c r="D24" s="878"/>
      <c r="E24" s="855"/>
      <c r="F24" s="856"/>
      <c r="G24" s="856"/>
      <c r="H24" s="879" t="s">
        <v>615</v>
      </c>
      <c r="I24" s="880"/>
      <c r="J24" s="883"/>
      <c r="K24" s="24"/>
    </row>
    <row r="25" spans="1:11">
      <c r="A25" s="865"/>
      <c r="B25" s="36" t="s">
        <v>616</v>
      </c>
      <c r="C25" s="812" t="s">
        <v>617</v>
      </c>
      <c r="D25" s="813"/>
      <c r="E25" s="861" t="s">
        <v>618</v>
      </c>
      <c r="F25" s="862"/>
      <c r="G25" s="862"/>
      <c r="H25" s="862"/>
      <c r="I25" s="863"/>
      <c r="J25" s="883"/>
      <c r="K25" s="24"/>
    </row>
    <row r="26" spans="1:11" ht="20.25" customHeight="1">
      <c r="A26" s="865"/>
      <c r="B26" s="37"/>
      <c r="C26" s="850"/>
      <c r="D26" s="851"/>
      <c r="E26" s="852" t="s">
        <v>619</v>
      </c>
      <c r="F26" s="853"/>
      <c r="G26" s="38" t="s">
        <v>620</v>
      </c>
      <c r="H26" s="38" t="s">
        <v>621</v>
      </c>
      <c r="I26" s="35" t="s">
        <v>622</v>
      </c>
      <c r="J26" s="883"/>
      <c r="K26" s="24"/>
    </row>
    <row r="27" spans="1:11" ht="12.75" customHeight="1">
      <c r="A27" s="865"/>
      <c r="B27" s="39" t="s">
        <v>623</v>
      </c>
      <c r="C27" s="854" t="s">
        <v>624</v>
      </c>
      <c r="D27" s="854"/>
      <c r="E27" s="854"/>
      <c r="F27" s="854"/>
      <c r="G27" s="40" t="s">
        <v>625</v>
      </c>
      <c r="H27" s="40" t="s">
        <v>626</v>
      </c>
      <c r="I27" s="41" t="s">
        <v>627</v>
      </c>
      <c r="J27" s="883"/>
      <c r="K27" s="24"/>
    </row>
    <row r="28" spans="1:11">
      <c r="A28" s="865"/>
      <c r="B28" s="42"/>
      <c r="C28" s="43"/>
      <c r="D28" s="43"/>
      <c r="E28" s="43"/>
      <c r="F28" s="44"/>
      <c r="G28" s="45"/>
      <c r="H28" s="45"/>
      <c r="I28" s="46"/>
      <c r="J28" s="883"/>
      <c r="K28" s="24"/>
    </row>
    <row r="29" spans="1:11" ht="15.75">
      <c r="A29" s="865"/>
      <c r="B29" s="362" t="s">
        <v>628</v>
      </c>
      <c r="C29" s="48"/>
      <c r="D29" s="48"/>
      <c r="E29" s="48"/>
      <c r="F29" s="49"/>
      <c r="G29" s="50"/>
      <c r="H29" s="50"/>
      <c r="I29" s="51"/>
      <c r="J29" s="883"/>
      <c r="K29" s="24"/>
    </row>
    <row r="30" spans="1:11" ht="15.75">
      <c r="A30" s="865"/>
      <c r="B30" s="96" t="s">
        <v>629</v>
      </c>
      <c r="C30" s="48"/>
      <c r="D30" s="48"/>
      <c r="E30" s="48"/>
      <c r="F30" s="49"/>
      <c r="G30" s="50"/>
      <c r="H30" s="50"/>
      <c r="I30" s="51"/>
      <c r="J30" s="883"/>
      <c r="K30" s="24"/>
    </row>
    <row r="31" spans="1:11" ht="15.75">
      <c r="A31" s="865"/>
      <c r="B31" s="96" t="str">
        <f ca="1">CONCATENATE(dgn_calculation!E6," FIBREBOARD BOXES")</f>
        <v>30 FIBREBOARD BOXES</v>
      </c>
      <c r="C31" s="48"/>
      <c r="D31" s="48"/>
      <c r="E31" s="48"/>
      <c r="F31" s="49"/>
      <c r="G31" s="50"/>
      <c r="H31" s="50"/>
      <c r="I31" s="51"/>
      <c r="J31" s="883"/>
      <c r="K31" s="24"/>
    </row>
    <row r="32" spans="1:11" ht="15.75">
      <c r="A32" s="865"/>
      <c r="B32" s="96" t="str">
        <f>CONCATENATE(dgn_calculation!C10," GLASS BOTTLES BY 50ML")</f>
        <v>0 GLASS BOTTLES BY 50ML</v>
      </c>
      <c r="C32" s="48"/>
      <c r="D32" s="48"/>
      <c r="E32" s="48"/>
      <c r="F32" s="49"/>
      <c r="G32" s="99">
        <f>dgn_calculation!D10</f>
        <v>0</v>
      </c>
      <c r="H32" s="99">
        <f>dgn_calculation!E10</f>
        <v>0</v>
      </c>
      <c r="I32" s="100">
        <f>dgn_calculation!F10</f>
        <v>0</v>
      </c>
      <c r="J32" s="883"/>
      <c r="K32" s="24"/>
    </row>
    <row r="33" spans="1:11" ht="15.75">
      <c r="A33" s="865"/>
      <c r="B33" s="96" t="str">
        <f>CONCATENATE(dgn_calculation!C11," GLASS BOTTLES BY 100ML")</f>
        <v>720 GLASS BOTTLES BY 100ML</v>
      </c>
      <c r="C33" s="48"/>
      <c r="D33" s="48"/>
      <c r="E33" s="48"/>
      <c r="F33" s="49"/>
      <c r="G33" s="99">
        <f>dgn_calculation!D11</f>
        <v>284.40000000000003</v>
      </c>
      <c r="H33" s="99">
        <f>dgn_calculation!E11</f>
        <v>297</v>
      </c>
      <c r="I33" s="100">
        <f>dgn_calculation!F11</f>
        <v>0.51892499999999997</v>
      </c>
      <c r="J33" s="883"/>
      <c r="K33" s="24"/>
    </row>
    <row r="34" spans="1:11" ht="15.75">
      <c r="A34" s="865"/>
      <c r="B34" s="97"/>
      <c r="C34" s="48"/>
      <c r="D34" s="48"/>
      <c r="E34" s="48"/>
      <c r="F34" s="49"/>
      <c r="G34" s="99"/>
      <c r="H34" s="99"/>
      <c r="I34" s="100"/>
      <c r="J34" s="883"/>
      <c r="K34" s="24"/>
    </row>
    <row r="35" spans="1:11" ht="15.75">
      <c r="A35" s="865"/>
      <c r="B35" s="97" t="s">
        <v>867</v>
      </c>
      <c r="C35" s="48"/>
      <c r="D35" s="48"/>
      <c r="E35" s="48"/>
      <c r="F35" s="49"/>
      <c r="G35" s="99"/>
      <c r="H35" s="99"/>
      <c r="I35" s="100"/>
      <c r="J35" s="883"/>
      <c r="K35" s="24"/>
    </row>
    <row r="36" spans="1:11" ht="15.75">
      <c r="A36" s="865"/>
      <c r="B36" s="97" t="s">
        <v>630</v>
      </c>
      <c r="C36" s="48"/>
      <c r="D36" s="48"/>
      <c r="E36" s="48"/>
      <c r="F36" s="49"/>
      <c r="G36" s="99"/>
      <c r="H36" s="99"/>
      <c r="I36" s="100"/>
      <c r="J36" s="883"/>
      <c r="K36" s="24"/>
    </row>
    <row r="37" spans="1:11" ht="15.75">
      <c r="A37" s="865"/>
      <c r="B37" s="97" t="str">
        <f ca="1">CONCATENATE(dgn_calculation!I6," FIBREBOARD BOXES")</f>
        <v>0 FIBREBOARD BOXES</v>
      </c>
      <c r="C37" s="48"/>
      <c r="D37" s="48"/>
      <c r="E37" s="48"/>
      <c r="F37" s="49"/>
      <c r="G37" s="99"/>
      <c r="H37" s="99"/>
      <c r="I37" s="100"/>
      <c r="J37" s="883"/>
      <c r="K37" s="24"/>
    </row>
    <row r="38" spans="1:11" ht="15.75">
      <c r="A38" s="865"/>
      <c r="B38" s="97" t="str">
        <f>CONCATENATE(dgn_calculation!G14," GLASS BOTTLES BY 200ML")</f>
        <v>0 GLASS BOTTLES BY 200ML</v>
      </c>
      <c r="C38" s="48"/>
      <c r="D38" s="48"/>
      <c r="E38" s="48"/>
      <c r="F38" s="49"/>
      <c r="G38" s="99">
        <f>dgn_calculation!H14</f>
        <v>0</v>
      </c>
      <c r="H38" s="99">
        <f>dgn_calculation!I14</f>
        <v>0</v>
      </c>
      <c r="I38" s="100">
        <f>dgn_calculation!J14</f>
        <v>0</v>
      </c>
      <c r="J38" s="883"/>
      <c r="K38" s="24"/>
    </row>
    <row r="39" spans="1:11" ht="15.75">
      <c r="A39" s="865"/>
      <c r="B39" s="98"/>
      <c r="C39" s="53"/>
      <c r="D39" s="53"/>
      <c r="E39" s="53"/>
      <c r="F39" s="54"/>
      <c r="G39" s="99"/>
      <c r="H39" s="99"/>
      <c r="I39" s="100"/>
      <c r="J39" s="883"/>
      <c r="K39" s="24"/>
    </row>
    <row r="40" spans="1:11" ht="15.75">
      <c r="A40" s="865"/>
      <c r="B40" s="97" t="s">
        <v>631</v>
      </c>
      <c r="C40" s="48"/>
      <c r="D40" s="48"/>
      <c r="E40" s="48"/>
      <c r="F40" s="49"/>
      <c r="G40" s="99"/>
      <c r="H40" s="99"/>
      <c r="I40" s="100"/>
      <c r="J40" s="883"/>
      <c r="K40" s="24"/>
    </row>
    <row r="41" spans="1:11" ht="15.75">
      <c r="A41" s="865"/>
      <c r="B41" s="97" t="s">
        <v>630</v>
      </c>
      <c r="C41" s="48"/>
      <c r="D41" s="48"/>
      <c r="E41" s="48"/>
      <c r="F41" s="49"/>
      <c r="G41" s="99"/>
      <c r="H41" s="99"/>
      <c r="I41" s="100"/>
      <c r="J41" s="883"/>
      <c r="K41" s="24"/>
    </row>
    <row r="42" spans="1:11" ht="15.75">
      <c r="A42" s="865"/>
      <c r="B42" s="97" t="str">
        <f ca="1">CONCATENATE(dgn_calculation!M6," FIBREBOARD BOXES")</f>
        <v>0 FIBREBOARD BOXES</v>
      </c>
      <c r="C42" s="48"/>
      <c r="D42" s="48"/>
      <c r="E42" s="48"/>
      <c r="F42" s="49"/>
      <c r="G42" s="99"/>
      <c r="H42" s="99"/>
      <c r="I42" s="100"/>
      <c r="J42" s="883"/>
      <c r="K42" s="24"/>
    </row>
    <row r="43" spans="1:11" ht="15.75">
      <c r="A43" s="865"/>
      <c r="B43" s="97" t="str">
        <f>CONCATENATE(dgn_calculation!K12," METAL AEROSOLS BY 150ML")</f>
        <v>0 METAL AEROSOLS BY 150ML</v>
      </c>
      <c r="C43" s="48"/>
      <c r="D43" s="48"/>
      <c r="E43" s="48"/>
      <c r="F43" s="49"/>
      <c r="G43" s="99">
        <f>dgn_calculation!L12</f>
        <v>0</v>
      </c>
      <c r="H43" s="99">
        <f>dgn_calculation!M12</f>
        <v>0</v>
      </c>
      <c r="I43" s="100">
        <f>dgn_calculation!N12</f>
        <v>0</v>
      </c>
      <c r="J43" s="883"/>
      <c r="K43" s="24"/>
    </row>
    <row r="44" spans="1:11" ht="15.75">
      <c r="A44" s="865"/>
      <c r="B44" s="97" t="str">
        <f>CONCATENATE(dgn_calculation!K13," METAL AEROSOLS BY 175ML")</f>
        <v>0 METAL AEROSOLS BY 175ML</v>
      </c>
      <c r="C44" s="48"/>
      <c r="D44" s="48"/>
      <c r="E44" s="48"/>
      <c r="F44" s="49"/>
      <c r="G44" s="99">
        <f>dgn_calculation!L13</f>
        <v>0</v>
      </c>
      <c r="H44" s="99">
        <f>dgn_calculation!M13</f>
        <v>0</v>
      </c>
      <c r="I44" s="100">
        <f>dgn_calculation!N13</f>
        <v>0</v>
      </c>
      <c r="J44" s="883"/>
      <c r="K44" s="24"/>
    </row>
    <row r="45" spans="1:11" ht="15.75">
      <c r="A45" s="865"/>
      <c r="B45" s="97" t="str">
        <f>CONCATENATE(dgn_calculation!K15," METAL AEROSOLS BY 250ML")</f>
        <v>0 METAL AEROSOLS BY 250ML</v>
      </c>
      <c r="C45" s="48"/>
      <c r="D45" s="48"/>
      <c r="E45" s="48"/>
      <c r="F45" s="49"/>
      <c r="G45" s="99">
        <f>dgn_calculation!L15</f>
        <v>0</v>
      </c>
      <c r="H45" s="99">
        <f>dgn_calculation!M15</f>
        <v>0</v>
      </c>
      <c r="I45" s="100">
        <f>dgn_calculation!N15</f>
        <v>0</v>
      </c>
      <c r="J45" s="883"/>
      <c r="K45" s="24"/>
    </row>
    <row r="46" spans="1:11" ht="15.75">
      <c r="A46" s="865"/>
      <c r="B46" s="97" t="str">
        <f>CONCATENATE(dgn_calculation!K16," METAL AEROSOLS BY 300ML")</f>
        <v>0 METAL AEROSOLS BY 300ML</v>
      </c>
      <c r="C46" s="53"/>
      <c r="D46" s="53"/>
      <c r="E46" s="53"/>
      <c r="F46" s="54"/>
      <c r="G46" s="99">
        <f>dgn_calculation!L16</f>
        <v>0</v>
      </c>
      <c r="H46" s="99">
        <f>dgn_calculation!M16</f>
        <v>0</v>
      </c>
      <c r="I46" s="100">
        <f>dgn_calculation!N16</f>
        <v>0</v>
      </c>
      <c r="J46" s="883"/>
      <c r="K46" s="24"/>
    </row>
    <row r="47" spans="1:11" ht="15.75">
      <c r="A47" s="865"/>
      <c r="B47" s="98"/>
      <c r="C47" s="53"/>
      <c r="D47" s="53"/>
      <c r="E47" s="53"/>
      <c r="F47" s="54"/>
      <c r="G47" s="50"/>
      <c r="H47" s="50"/>
      <c r="I47" s="51"/>
      <c r="J47" s="883"/>
      <c r="K47" s="24"/>
    </row>
    <row r="48" spans="1:11" ht="15.75">
      <c r="A48" s="865"/>
      <c r="B48" s="98"/>
      <c r="C48" s="53"/>
      <c r="D48" s="53"/>
      <c r="E48" s="53"/>
      <c r="F48" s="54"/>
      <c r="G48" s="50"/>
      <c r="H48" s="50"/>
      <c r="I48" s="51"/>
      <c r="J48" s="883"/>
      <c r="K48" s="24"/>
    </row>
    <row r="49" spans="1:11" ht="15.75">
      <c r="A49" s="865"/>
      <c r="B49" s="98" t="s">
        <v>632</v>
      </c>
      <c r="C49" s="53"/>
      <c r="D49" s="53"/>
      <c r="E49" s="53"/>
      <c r="F49" s="54"/>
      <c r="G49" s="50"/>
      <c r="H49" s="50"/>
      <c r="I49" s="51"/>
      <c r="J49" s="883"/>
      <c r="K49" s="24"/>
    </row>
    <row r="50" spans="1:11" ht="15.75">
      <c r="A50" s="865"/>
      <c r="B50" s="52"/>
      <c r="C50" s="53"/>
      <c r="D50" s="53"/>
      <c r="E50" s="53"/>
      <c r="F50" s="54"/>
      <c r="G50" s="50"/>
      <c r="H50" s="50"/>
      <c r="I50" s="51"/>
      <c r="J50" s="883"/>
      <c r="K50" s="24"/>
    </row>
    <row r="51" spans="1:11" ht="15.75">
      <c r="A51" s="865"/>
      <c r="B51" s="52"/>
      <c r="C51" s="53"/>
      <c r="D51" s="53"/>
      <c r="E51" s="53"/>
      <c r="F51" s="54"/>
      <c r="G51" s="50"/>
      <c r="H51" s="50"/>
      <c r="I51" s="51"/>
      <c r="J51" s="883"/>
      <c r="K51" s="24"/>
    </row>
    <row r="52" spans="1:11" ht="15.75">
      <c r="A52" s="865"/>
      <c r="B52" s="47"/>
      <c r="C52" s="48"/>
      <c r="D52" s="48"/>
      <c r="E52" s="48"/>
      <c r="F52" s="49"/>
      <c r="G52" s="50"/>
      <c r="H52" s="50"/>
      <c r="I52" s="51"/>
      <c r="J52" s="883"/>
      <c r="K52" s="24"/>
    </row>
    <row r="53" spans="1:11" ht="15.75">
      <c r="A53" s="865"/>
      <c r="B53" s="47"/>
      <c r="C53" s="48"/>
      <c r="D53" s="48"/>
      <c r="E53" s="48"/>
      <c r="F53" s="49"/>
      <c r="G53" s="50"/>
      <c r="H53" s="55"/>
      <c r="I53" s="51"/>
      <c r="J53" s="883"/>
      <c r="K53" s="24"/>
    </row>
    <row r="54" spans="1:11">
      <c r="A54" s="865"/>
      <c r="B54" s="56"/>
      <c r="C54" s="57"/>
      <c r="D54" s="57"/>
      <c r="E54" s="57"/>
      <c r="F54" s="58"/>
      <c r="G54" s="59"/>
      <c r="H54" s="36" t="s">
        <v>633</v>
      </c>
      <c r="I54" s="36" t="s">
        <v>634</v>
      </c>
      <c r="J54" s="883"/>
      <c r="K54" s="24"/>
    </row>
    <row r="55" spans="1:11" ht="15.75">
      <c r="A55" s="865"/>
      <c r="B55" s="60"/>
      <c r="C55" s="61"/>
      <c r="D55" s="61"/>
      <c r="E55" s="61"/>
      <c r="F55" s="62"/>
      <c r="G55" s="63"/>
      <c r="H55" s="102">
        <f>SUM(H28:H52)</f>
        <v>297</v>
      </c>
      <c r="I55" s="101">
        <f>SUM(I29:I54)</f>
        <v>0.51892499999999997</v>
      </c>
      <c r="J55" s="883"/>
      <c r="K55" s="24"/>
    </row>
    <row r="56" spans="1:11">
      <c r="A56" s="865"/>
      <c r="B56" s="36" t="s">
        <v>635</v>
      </c>
      <c r="C56" s="812" t="s">
        <v>636</v>
      </c>
      <c r="D56" s="813"/>
      <c r="E56" s="812" t="s">
        <v>637</v>
      </c>
      <c r="F56" s="814"/>
      <c r="G56" s="813"/>
      <c r="H56" s="31" t="s">
        <v>638</v>
      </c>
      <c r="I56" s="36" t="s">
        <v>639</v>
      </c>
      <c r="J56" s="883"/>
      <c r="K56" s="24"/>
    </row>
    <row r="57" spans="1:11">
      <c r="A57" s="865"/>
      <c r="B57" s="64" t="s">
        <v>640</v>
      </c>
      <c r="C57" s="830"/>
      <c r="D57" s="831"/>
      <c r="E57" s="830"/>
      <c r="F57" s="832"/>
      <c r="G57" s="831"/>
      <c r="H57" s="65"/>
      <c r="I57" s="66" t="s">
        <v>641</v>
      </c>
      <c r="J57" s="883"/>
      <c r="K57" s="24"/>
    </row>
    <row r="58" spans="1:11" ht="15.75">
      <c r="A58" s="865"/>
      <c r="B58" s="67"/>
      <c r="C58" s="872"/>
      <c r="D58" s="873"/>
      <c r="E58" s="874"/>
      <c r="F58" s="875"/>
      <c r="G58" s="876"/>
      <c r="H58" s="65"/>
      <c r="I58" s="65"/>
      <c r="J58" s="883"/>
      <c r="K58" s="24"/>
    </row>
    <row r="59" spans="1:11" ht="12" customHeight="1">
      <c r="A59" s="865"/>
      <c r="B59" s="68"/>
      <c r="C59" s="834"/>
      <c r="D59" s="835"/>
      <c r="E59" s="834"/>
      <c r="F59" s="836"/>
      <c r="G59" s="835"/>
      <c r="H59" s="69"/>
      <c r="I59" s="69"/>
      <c r="J59" s="883"/>
      <c r="K59" s="24"/>
    </row>
    <row r="60" spans="1:11" ht="13.5" customHeight="1">
      <c r="A60" s="70"/>
      <c r="B60" s="837" t="s">
        <v>642</v>
      </c>
      <c r="C60" s="838"/>
      <c r="D60" s="839" t="s">
        <v>643</v>
      </c>
      <c r="E60" s="840"/>
      <c r="F60" s="840"/>
      <c r="G60" s="840"/>
      <c r="H60" s="840"/>
      <c r="I60" s="841"/>
      <c r="J60" s="884"/>
      <c r="K60" s="24"/>
    </row>
    <row r="61" spans="1:11" ht="25.5" customHeight="1">
      <c r="A61" s="23"/>
      <c r="B61" s="842" t="s">
        <v>644</v>
      </c>
      <c r="C61" s="843"/>
      <c r="D61" s="842" t="s">
        <v>645</v>
      </c>
      <c r="E61" s="844"/>
      <c r="F61" s="844"/>
      <c r="G61" s="844"/>
      <c r="H61" s="844"/>
      <c r="I61" s="843"/>
      <c r="J61" s="884"/>
      <c r="K61" s="24"/>
    </row>
    <row r="62" spans="1:11" ht="34.5" customHeight="1">
      <c r="A62" s="23"/>
      <c r="B62" s="845" t="s">
        <v>646</v>
      </c>
      <c r="C62" s="846"/>
      <c r="D62" s="847"/>
      <c r="E62" s="848"/>
      <c r="F62" s="848"/>
      <c r="G62" s="848"/>
      <c r="H62" s="848"/>
      <c r="I62" s="849"/>
      <c r="J62" s="884"/>
      <c r="K62" s="24"/>
    </row>
    <row r="63" spans="1:11">
      <c r="A63" s="23"/>
      <c r="B63" s="812" t="s">
        <v>647</v>
      </c>
      <c r="C63" s="813"/>
      <c r="D63" s="812" t="s">
        <v>648</v>
      </c>
      <c r="E63" s="814"/>
      <c r="F63" s="813"/>
      <c r="G63" s="812" t="s">
        <v>649</v>
      </c>
      <c r="H63" s="814"/>
      <c r="I63" s="813"/>
      <c r="J63" s="885"/>
      <c r="K63" s="24"/>
    </row>
    <row r="64" spans="1:11" ht="15.75">
      <c r="A64" s="23"/>
      <c r="B64" s="821" t="s">
        <v>593</v>
      </c>
      <c r="C64" s="822"/>
      <c r="D64" s="833"/>
      <c r="E64" s="824"/>
      <c r="F64" s="825"/>
      <c r="G64" s="821" t="s">
        <v>650</v>
      </c>
      <c r="H64" s="826"/>
      <c r="I64" s="822"/>
      <c r="J64" s="885"/>
      <c r="K64" s="24"/>
    </row>
    <row r="65" spans="1:11">
      <c r="A65" s="23"/>
      <c r="B65" s="812" t="s">
        <v>651</v>
      </c>
      <c r="C65" s="813"/>
      <c r="D65" s="812" t="s">
        <v>652</v>
      </c>
      <c r="E65" s="814"/>
      <c r="F65" s="813"/>
      <c r="G65" s="812" t="s">
        <v>651</v>
      </c>
      <c r="H65" s="814"/>
      <c r="I65" s="813"/>
      <c r="J65" s="885"/>
      <c r="K65" s="24"/>
    </row>
    <row r="66" spans="1:11" ht="15.75">
      <c r="A66" s="23"/>
      <c r="B66" s="821" t="s">
        <v>653</v>
      </c>
      <c r="C66" s="822"/>
      <c r="D66" s="827"/>
      <c r="E66" s="828"/>
      <c r="F66" s="829"/>
      <c r="G66" s="821" t="s">
        <v>653</v>
      </c>
      <c r="H66" s="826"/>
      <c r="I66" s="822"/>
      <c r="J66" s="885"/>
      <c r="K66" s="24"/>
    </row>
    <row r="67" spans="1:11">
      <c r="A67" s="23"/>
      <c r="B67" s="812" t="s">
        <v>654</v>
      </c>
      <c r="C67" s="813"/>
      <c r="D67" s="812" t="s">
        <v>655</v>
      </c>
      <c r="E67" s="814"/>
      <c r="F67" s="813"/>
      <c r="G67" s="812" t="s">
        <v>654</v>
      </c>
      <c r="H67" s="814"/>
      <c r="I67" s="813"/>
      <c r="J67" s="885"/>
      <c r="K67" s="24"/>
    </row>
    <row r="68" spans="1:11" ht="15.75">
      <c r="A68" s="23"/>
      <c r="B68" s="821" t="s">
        <v>880</v>
      </c>
      <c r="C68" s="822"/>
      <c r="D68" s="823"/>
      <c r="E68" s="824"/>
      <c r="F68" s="825"/>
      <c r="G68" s="821" t="s">
        <v>880</v>
      </c>
      <c r="H68" s="826"/>
      <c r="I68" s="822"/>
      <c r="J68" s="885"/>
      <c r="K68" s="24"/>
    </row>
    <row r="69" spans="1:11">
      <c r="A69" s="23"/>
      <c r="B69" s="812" t="s">
        <v>656</v>
      </c>
      <c r="C69" s="813"/>
      <c r="D69" s="812" t="s">
        <v>657</v>
      </c>
      <c r="E69" s="814"/>
      <c r="F69" s="813"/>
      <c r="G69" s="812" t="s">
        <v>656</v>
      </c>
      <c r="H69" s="814"/>
      <c r="I69" s="813"/>
      <c r="J69" s="885"/>
    </row>
    <row r="70" spans="1:11" ht="20.25">
      <c r="A70" s="23"/>
      <c r="B70" s="815"/>
      <c r="C70" s="816"/>
      <c r="D70" s="815"/>
      <c r="E70" s="817"/>
      <c r="F70" s="816"/>
      <c r="G70" s="818"/>
      <c r="H70" s="819"/>
      <c r="I70" s="820"/>
      <c r="J70" s="885"/>
    </row>
    <row r="71" spans="1:11" ht="20.25">
      <c r="A71" s="23"/>
      <c r="B71" s="806"/>
      <c r="C71" s="807"/>
      <c r="D71" s="806"/>
      <c r="E71" s="808"/>
      <c r="F71" s="807"/>
      <c r="G71" s="809"/>
      <c r="H71" s="810"/>
      <c r="I71" s="811"/>
      <c r="J71" s="885"/>
    </row>
  </sheetData>
  <mergeCells count="82"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  <mergeCell ref="E1:I1"/>
    <mergeCell ref="B3:D3"/>
    <mergeCell ref="E3:I3"/>
    <mergeCell ref="B8:D8"/>
    <mergeCell ref="E9:I9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B16:D16"/>
    <mergeCell ref="B17:D17"/>
    <mergeCell ref="B18:D18"/>
    <mergeCell ref="C25:D25"/>
    <mergeCell ref="E25:I25"/>
    <mergeCell ref="C26:D26"/>
    <mergeCell ref="E26:F26"/>
    <mergeCell ref="C27:F27"/>
    <mergeCell ref="C56:D56"/>
    <mergeCell ref="E56:G5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B65:C65"/>
    <mergeCell ref="D65:F65"/>
    <mergeCell ref="G65:I65"/>
    <mergeCell ref="B66:C66"/>
    <mergeCell ref="D66:F66"/>
    <mergeCell ref="G66:I66"/>
    <mergeCell ref="B67:C67"/>
    <mergeCell ref="D67:F67"/>
    <mergeCell ref="G67:I67"/>
    <mergeCell ref="B68:C68"/>
    <mergeCell ref="D68:F68"/>
    <mergeCell ref="G68:I68"/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40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Foglio16"/>
  <dimension ref="A1:N118"/>
  <sheetViews>
    <sheetView showGridLines="0" zoomScaleSheetLayoutView="100" workbookViewId="0">
      <selection activeCell="I4" sqref="I4"/>
    </sheetView>
  </sheetViews>
  <sheetFormatPr defaultColWidth="10.7109375" defaultRowHeight="12.75"/>
  <cols>
    <col min="1" max="1" width="9.140625" style="466" customWidth="1"/>
    <col min="2" max="2" width="15.42578125" style="466" customWidth="1"/>
    <col min="3" max="3" width="12.7109375" style="466" customWidth="1"/>
    <col min="4" max="4" width="9.5703125" style="467" customWidth="1"/>
    <col min="5" max="5" width="18.7109375" style="466" customWidth="1"/>
    <col min="6" max="6" width="3.42578125" style="468" customWidth="1"/>
    <col min="7" max="8" width="9.5703125" style="466" customWidth="1"/>
    <col min="9" max="9" width="9.5703125" style="468" customWidth="1"/>
    <col min="10" max="11" width="9.5703125" style="466" customWidth="1"/>
    <col min="12" max="16384" width="10.7109375" style="466"/>
  </cols>
  <sheetData>
    <row r="1" spans="1:11">
      <c r="A1" s="786"/>
      <c r="B1" s="786"/>
      <c r="C1" s="638"/>
      <c r="D1" s="639"/>
      <c r="E1" s="638"/>
      <c r="F1" s="640"/>
      <c r="G1" s="469"/>
      <c r="H1" s="787"/>
      <c r="I1" s="788"/>
      <c r="J1" s="788"/>
      <c r="K1" s="465"/>
    </row>
    <row r="2" spans="1:11">
      <c r="A2" s="638"/>
      <c r="B2" s="638"/>
      <c r="C2" s="638"/>
      <c r="D2" s="639"/>
      <c r="E2" s="638"/>
      <c r="F2" s="640"/>
      <c r="G2" s="469"/>
      <c r="H2" s="470" t="s">
        <v>796</v>
      </c>
      <c r="I2" s="471"/>
      <c r="J2" s="471"/>
      <c r="K2" s="469"/>
    </row>
    <row r="3" spans="1:11">
      <c r="A3" s="638"/>
      <c r="B3" s="638"/>
      <c r="C3" s="638"/>
      <c r="D3" s="639"/>
      <c r="E3" s="638"/>
      <c r="F3" s="640"/>
      <c r="G3" s="469"/>
      <c r="H3" s="472"/>
      <c r="I3" s="466"/>
      <c r="J3" s="471"/>
      <c r="K3" s="469"/>
    </row>
    <row r="4" spans="1:11">
      <c r="A4" s="638"/>
      <c r="B4" s="638"/>
      <c r="C4" s="638"/>
      <c r="D4" s="639"/>
      <c r="E4" s="638"/>
      <c r="F4" s="640"/>
      <c r="G4" s="469"/>
      <c r="H4" s="472" t="s">
        <v>797</v>
      </c>
      <c r="I4" s="466"/>
      <c r="J4" s="471"/>
      <c r="K4" s="469"/>
    </row>
    <row r="5" spans="1:11">
      <c r="A5" s="638"/>
      <c r="B5" s="638"/>
      <c r="C5" s="638"/>
      <c r="D5" s="639"/>
      <c r="E5" s="638"/>
      <c r="F5" s="640"/>
      <c r="G5" s="469"/>
      <c r="H5" s="472" t="s">
        <v>798</v>
      </c>
      <c r="I5" s="466"/>
      <c r="J5" s="471"/>
      <c r="K5" s="469"/>
    </row>
    <row r="6" spans="1:11">
      <c r="A6" s="638"/>
      <c r="B6" s="638"/>
      <c r="C6" s="638"/>
      <c r="D6" s="639"/>
      <c r="E6" s="638"/>
      <c r="F6" s="640"/>
      <c r="G6" s="469"/>
      <c r="H6" s="472" t="s">
        <v>799</v>
      </c>
      <c r="J6" s="471"/>
      <c r="K6" s="469"/>
    </row>
    <row r="7" spans="1:11">
      <c r="A7" s="473"/>
      <c r="B7" s="473"/>
      <c r="C7" s="473"/>
      <c r="D7" s="474"/>
      <c r="E7" s="473"/>
      <c r="F7" s="626"/>
      <c r="G7" s="476"/>
      <c r="H7" s="477" t="s">
        <v>800</v>
      </c>
      <c r="I7" s="475"/>
      <c r="J7" s="473"/>
      <c r="K7" s="476"/>
    </row>
    <row r="8" spans="1:11">
      <c r="A8" s="787" t="s">
        <v>537</v>
      </c>
      <c r="B8" s="789"/>
      <c r="C8" s="787" t="s">
        <v>538</v>
      </c>
      <c r="D8" s="789"/>
      <c r="E8" s="478" t="s">
        <v>862</v>
      </c>
      <c r="F8" s="479"/>
      <c r="G8" s="787" t="s">
        <v>571</v>
      </c>
      <c r="H8" s="788"/>
      <c r="I8" s="788"/>
      <c r="J8" s="790"/>
      <c r="K8" s="791"/>
    </row>
    <row r="9" spans="1:11" s="468" customFormat="1">
      <c r="A9" s="792" t="s">
        <v>572</v>
      </c>
      <c r="B9" s="793"/>
      <c r="C9" s="794">
        <v>45428</v>
      </c>
      <c r="D9" s="795"/>
      <c r="E9" s="796" t="s">
        <v>894</v>
      </c>
      <c r="F9" s="796"/>
      <c r="G9" s="792" t="s">
        <v>1161</v>
      </c>
      <c r="H9" s="796"/>
      <c r="I9" s="796"/>
      <c r="J9" s="796"/>
      <c r="K9" s="793"/>
    </row>
    <row r="10" spans="1:11" ht="29.45" customHeight="1">
      <c r="A10" s="480" t="s">
        <v>544</v>
      </c>
      <c r="B10" s="797" t="s">
        <v>545</v>
      </c>
      <c r="C10" s="798"/>
      <c r="D10" s="798"/>
      <c r="E10" s="799"/>
      <c r="F10" s="481" t="s">
        <v>546</v>
      </c>
      <c r="G10" s="482" t="s">
        <v>547</v>
      </c>
      <c r="H10" s="482" t="s">
        <v>573</v>
      </c>
      <c r="I10" s="480" t="s">
        <v>574</v>
      </c>
      <c r="J10" s="482" t="s">
        <v>549</v>
      </c>
      <c r="K10" s="482" t="s">
        <v>575</v>
      </c>
    </row>
    <row r="11" spans="1:11" ht="15">
      <c r="A11" s="483"/>
      <c r="B11" s="484" t="s">
        <v>552</v>
      </c>
      <c r="C11" s="485"/>
      <c r="D11" s="486"/>
      <c r="E11" s="487"/>
      <c r="F11" s="488"/>
      <c r="G11" s="488"/>
      <c r="H11" s="577"/>
      <c r="I11" s="578"/>
      <c r="J11" s="489"/>
      <c r="K11" s="490"/>
    </row>
    <row r="12" spans="1:11" ht="15">
      <c r="A12" s="491" t="str">
        <f t="array" ref="A12">IFERROR(INDEX(productsSku, SMALL(IF(productsQty&lt;&gt;0, ROW(productsQty)-ROW('BHPC MANAGER'!$CD$10)+1), ROW(L1))), "")</f>
        <v>P06003</v>
      </c>
      <c r="B12" s="483" t="str">
        <f t="array" ref="B12">IFERROR(INDEX(productsDescription, SMALL(IF(productsQty&lt;&gt;0, ROW(productsQty)-ROW('BHPC MANAGER'!$CD$10)+1), ROW(L1))), "")</f>
        <v>BHPC PRESTIGE TITAN 100ML EDP MEN</v>
      </c>
      <c r="C12" s="492"/>
      <c r="D12" s="493"/>
      <c r="E12" s="494"/>
      <c r="F12" s="495" t="str">
        <f t="shared" ref="F12:F35" si="0">IF(A12="","","PC")</f>
        <v>PC</v>
      </c>
      <c r="G12" s="496">
        <f t="array" ref="G12">IFERROR(INDEX(productsQty, SMALL(IF(productsQty&lt;&gt;0, ROW(productsQty)-ROW('BHPC MANAGER'!$CD$10)+1), ROW(L1))), "")</f>
        <v>720</v>
      </c>
      <c r="H12" s="579">
        <f t="array" ref="H12">G12/VLOOKUP(A12,bhpc_data[],9,FALSE)*VLOOKUP(A12,bhpc_data[],17,FALSE)</f>
        <v>284.40000000000003</v>
      </c>
      <c r="I12" s="580">
        <f t="array" ref="I12">G12/VLOOKUP(A12,bhpc_data[],9,FALSE)*VLOOKUP(A12,bhpc_data[],18,FALSE)</f>
        <v>297</v>
      </c>
      <c r="J12" s="497">
        <f t="array" ref="J12">IFERROR(INDEX(productsCartons, SMALL(IF(productsQty&lt;&gt;0, ROW(productsQty)-ROW('BHPC MANAGER'!$CD$10)+1), ROW(L1))), "")</f>
        <v>30</v>
      </c>
      <c r="K12" s="498" t="str">
        <f t="array" ref="K12">VLOOKUP(A12,bhpc_data[],26,FALSE)</f>
        <v>SPAIN</v>
      </c>
    </row>
    <row r="13" spans="1:11" ht="15">
      <c r="A13" s="491" t="str">
        <f t="array" ref="A13">IFERROR(INDEX(productsSku, SMALL(IF(productsQty&lt;&gt;0, ROW(productsQty)-ROW('BHPC MANAGER'!$CD$10)+1), ROW(L2))), "")</f>
        <v/>
      </c>
      <c r="B13" s="483" t="str">
        <f t="array" ref="B13">IFERROR(INDEX(productsDescription, SMALL(IF(productsQty&lt;&gt;0, ROW(productsQty)-ROW('BHPC MANAGER'!$CD$10)+1), ROW(L2))), "")</f>
        <v/>
      </c>
      <c r="C13" s="492"/>
      <c r="D13" s="493"/>
      <c r="E13" s="494"/>
      <c r="F13" s="495" t="str">
        <f t="shared" si="0"/>
        <v/>
      </c>
      <c r="G13" s="496" t="str">
        <f t="array" ref="G13">IFERROR(INDEX(productsQty, SMALL(IF(productsQty&lt;&gt;0, ROW(productsQty)-ROW('BHPC MANAGER'!$CD$10)+1), ROW(L2))), "")</f>
        <v/>
      </c>
      <c r="H13" s="579" t="e">
        <f t="array" ref="H13">G13/VLOOKUP(A13,bhpc_data[],9,FALSE)*VLOOKUP(A13,bhpc_data[],17,FALSE)</f>
        <v>#VALUE!</v>
      </c>
      <c r="I13" s="580" t="e">
        <f t="array" ref="I13">G13/VLOOKUP(A13,bhpc_data[],9,FALSE)*VLOOKUP(A13,bhpc_data[],18,FALSE)</f>
        <v>#VALUE!</v>
      </c>
      <c r="J13" s="497" t="str">
        <f t="array" ref="J13">IFERROR(INDEX(productsCartons, SMALL(IF(productsQty&lt;&gt;0, ROW(productsQty)-ROW('BHPC MANAGER'!$CD$10)+1), ROW(L2))), "")</f>
        <v/>
      </c>
      <c r="K13" s="498" t="e">
        <f t="array" ref="K13">VLOOKUP(A13,bhpc_data[],26,FALSE)</f>
        <v>#N/A</v>
      </c>
    </row>
    <row r="14" spans="1:11" ht="15">
      <c r="A14" s="491" t="str">
        <f t="array" ref="A14">IFERROR(INDEX(productsSku, SMALL(IF(productsQty&lt;&gt;0, ROW(productsQty)-ROW('BHPC MANAGER'!$CD$10)+1), ROW(L3))), "")</f>
        <v/>
      </c>
      <c r="B14" s="483" t="str">
        <f t="array" ref="B14">IFERROR(INDEX(productsDescription, SMALL(IF(productsQty&lt;&gt;0, ROW(productsQty)-ROW('BHPC MANAGER'!$CD$10)+1), ROW(L3))), "")</f>
        <v/>
      </c>
      <c r="C14" s="492"/>
      <c r="D14" s="493"/>
      <c r="E14" s="494"/>
      <c r="F14" s="495" t="str">
        <f t="shared" si="0"/>
        <v/>
      </c>
      <c r="G14" s="496" t="str">
        <f t="array" ref="G14">IFERROR(INDEX(productsQty, SMALL(IF(productsQty&lt;&gt;0, ROW(productsQty)-ROW('BHPC MANAGER'!$CD$10)+1), ROW(L3))), "")</f>
        <v/>
      </c>
      <c r="H14" s="579" t="e">
        <f t="array" ref="H14">G14/VLOOKUP(A14,bhpc_data[],9,FALSE)*VLOOKUP(A14,bhpc_data[],17,FALSE)</f>
        <v>#VALUE!</v>
      </c>
      <c r="I14" s="580" t="e">
        <f t="array" ref="I14">G14/VLOOKUP(A14,bhpc_data[],9,FALSE)*VLOOKUP(A14,bhpc_data[],18,FALSE)</f>
        <v>#VALUE!</v>
      </c>
      <c r="J14" s="497" t="str">
        <f t="array" ref="J14">IFERROR(INDEX(productsCartons, SMALL(IF(productsQty&lt;&gt;0, ROW(productsQty)-ROW('BHPC MANAGER'!$CD$10)+1), ROW(L3))), "")</f>
        <v/>
      </c>
      <c r="K14" s="498" t="e">
        <f t="array" ref="K14">VLOOKUP(A14,bhpc_data[],26,FALSE)</f>
        <v>#N/A</v>
      </c>
    </row>
    <row r="15" spans="1:11" ht="15">
      <c r="A15" s="491" t="str">
        <f t="array" ref="A15">IFERROR(INDEX(productsSku, SMALL(IF(productsQty&lt;&gt;0, ROW(productsQty)-ROW('BHPC MANAGER'!$CD$10)+1), ROW(L4))), "")</f>
        <v/>
      </c>
      <c r="B15" s="483" t="str">
        <f t="array" ref="B15">IFERROR(INDEX(productsDescription, SMALL(IF(productsQty&lt;&gt;0, ROW(productsQty)-ROW('BHPC MANAGER'!$CD$10)+1), ROW(L4))), "")</f>
        <v/>
      </c>
      <c r="C15" s="492"/>
      <c r="D15" s="493"/>
      <c r="E15" s="494"/>
      <c r="F15" s="495" t="str">
        <f t="shared" si="0"/>
        <v/>
      </c>
      <c r="G15" s="496" t="str">
        <f t="array" ref="G15">IFERROR(INDEX(productsQty, SMALL(IF(productsQty&lt;&gt;0, ROW(productsQty)-ROW('BHPC MANAGER'!$CD$10)+1), ROW(L4))), "")</f>
        <v/>
      </c>
      <c r="H15" s="579" t="e">
        <f t="array" ref="H15">G15/VLOOKUP(A15,bhpc_data[],9,FALSE)*VLOOKUP(A15,bhpc_data[],17,FALSE)</f>
        <v>#VALUE!</v>
      </c>
      <c r="I15" s="580" t="e">
        <f t="array" ref="I15">G15/VLOOKUP(A15,bhpc_data[],9,FALSE)*VLOOKUP(A15,bhpc_data[],18,FALSE)</f>
        <v>#VALUE!</v>
      </c>
      <c r="J15" s="497" t="str">
        <f t="array" ref="J15">IFERROR(INDEX(productsCartons, SMALL(IF(productsQty&lt;&gt;0, ROW(productsQty)-ROW('BHPC MANAGER'!$CD$10)+1), ROW(L4))), "")</f>
        <v/>
      </c>
      <c r="K15" s="498" t="e">
        <f t="array" ref="K15">VLOOKUP(A15,bhpc_data[],26,FALSE)</f>
        <v>#N/A</v>
      </c>
    </row>
    <row r="16" spans="1:11" ht="15">
      <c r="A16" s="491" t="str">
        <f t="array" ref="A16">IFERROR(INDEX(productsSku, SMALL(IF(productsQty&lt;&gt;0, ROW(productsQty)-ROW('BHPC MANAGER'!$CD$10)+1), ROW(L5))), "")</f>
        <v/>
      </c>
      <c r="B16" s="483" t="str">
        <f t="array" ref="B16">IFERROR(INDEX(productsDescription, SMALL(IF(productsQty&lt;&gt;0, ROW(productsQty)-ROW('BHPC MANAGER'!$CD$10)+1), ROW(L5))), "")</f>
        <v/>
      </c>
      <c r="C16" s="492"/>
      <c r="D16" s="493"/>
      <c r="E16" s="494"/>
      <c r="F16" s="495" t="str">
        <f t="shared" si="0"/>
        <v/>
      </c>
      <c r="G16" s="496" t="str">
        <f t="array" ref="G16">IFERROR(INDEX(productsQty, SMALL(IF(productsQty&lt;&gt;0, ROW(productsQty)-ROW('BHPC MANAGER'!$CD$10)+1), ROW(L5))), "")</f>
        <v/>
      </c>
      <c r="H16" s="579" t="e">
        <f t="array" ref="H16">G16/VLOOKUP(A16,bhpc_data[],9,FALSE)*VLOOKUP(A16,bhpc_data[],17,FALSE)</f>
        <v>#VALUE!</v>
      </c>
      <c r="I16" s="580" t="e">
        <f t="array" ref="I16">G16/VLOOKUP(A16,bhpc_data[],9,FALSE)*VLOOKUP(A16,bhpc_data[],18,FALSE)</f>
        <v>#VALUE!</v>
      </c>
      <c r="J16" s="497" t="str">
        <f t="array" ref="J16">IFERROR(INDEX(productsCartons, SMALL(IF(productsQty&lt;&gt;0, ROW(productsQty)-ROW('BHPC MANAGER'!$CD$10)+1), ROW(L5))), "")</f>
        <v/>
      </c>
      <c r="K16" s="498" t="e">
        <f t="array" ref="K16">VLOOKUP(A16,bhpc_data[],26,FALSE)</f>
        <v>#N/A</v>
      </c>
    </row>
    <row r="17" spans="1:11" ht="15">
      <c r="A17" s="491" t="str">
        <f t="array" ref="A17">IFERROR(INDEX(productsSku, SMALL(IF(productsQty&lt;&gt;0, ROW(productsQty)-ROW('BHPC MANAGER'!$CD$10)+1), ROW(L6))), "")</f>
        <v/>
      </c>
      <c r="B17" s="483" t="str">
        <f t="array" ref="B17">IFERROR(INDEX(productsDescription, SMALL(IF(productsQty&lt;&gt;0, ROW(productsQty)-ROW('BHPC MANAGER'!$CD$10)+1), ROW(L6))), "")</f>
        <v/>
      </c>
      <c r="C17" s="492"/>
      <c r="D17" s="493"/>
      <c r="E17" s="494"/>
      <c r="F17" s="495" t="str">
        <f t="shared" si="0"/>
        <v/>
      </c>
      <c r="G17" s="496" t="str">
        <f t="array" ref="G17">IFERROR(INDEX(productsQty, SMALL(IF(productsQty&lt;&gt;0, ROW(productsQty)-ROW('BHPC MANAGER'!$CD$10)+1), ROW(L6))), "")</f>
        <v/>
      </c>
      <c r="H17" s="579" t="e">
        <f t="array" ref="H17">G17/VLOOKUP(A17,bhpc_data[],9,FALSE)*VLOOKUP(A17,bhpc_data[],17,FALSE)</f>
        <v>#VALUE!</v>
      </c>
      <c r="I17" s="580" t="e">
        <f t="array" ref="I17">G17/VLOOKUP(A17,bhpc_data[],9,FALSE)*VLOOKUP(A17,bhpc_data[],18,FALSE)</f>
        <v>#VALUE!</v>
      </c>
      <c r="J17" s="497" t="str">
        <f t="array" ref="J17">IFERROR(INDEX(productsCartons, SMALL(IF(productsQty&lt;&gt;0, ROW(productsQty)-ROW('BHPC MANAGER'!$CD$10)+1), ROW(L6))), "")</f>
        <v/>
      </c>
      <c r="K17" s="498" t="e">
        <f t="array" ref="K17">VLOOKUP(A17,bhpc_data[],26,FALSE)</f>
        <v>#N/A</v>
      </c>
    </row>
    <row r="18" spans="1:11" ht="15">
      <c r="A18" s="491" t="str">
        <f t="array" ref="A18">IFERROR(INDEX(productsSku, SMALL(IF(productsQty&lt;&gt;0, ROW(productsQty)-ROW('BHPC MANAGER'!$CD$10)+1), ROW(L7))), "")</f>
        <v/>
      </c>
      <c r="B18" s="483" t="str">
        <f t="array" ref="B18">IFERROR(INDEX(productsDescription, SMALL(IF(productsQty&lt;&gt;0, ROW(productsQty)-ROW('BHPC MANAGER'!$CD$10)+1), ROW(L7))), "")</f>
        <v/>
      </c>
      <c r="C18" s="492"/>
      <c r="D18" s="493"/>
      <c r="E18" s="494"/>
      <c r="F18" s="495" t="str">
        <f t="shared" si="0"/>
        <v/>
      </c>
      <c r="G18" s="496" t="str">
        <f t="array" ref="G18">IFERROR(INDEX(productsQty, SMALL(IF(productsQty&lt;&gt;0, ROW(productsQty)-ROW('BHPC MANAGER'!$CD$10)+1), ROW(L7))), "")</f>
        <v/>
      </c>
      <c r="H18" s="579" t="e">
        <f t="array" ref="H18">G18/VLOOKUP(A18,bhpc_data[],9,FALSE)*VLOOKUP(A18,bhpc_data[],17,FALSE)</f>
        <v>#VALUE!</v>
      </c>
      <c r="I18" s="580" t="e">
        <f t="array" ref="I18">G18/VLOOKUP(A18,bhpc_data[],9,FALSE)*VLOOKUP(A18,bhpc_data[],18,FALSE)</f>
        <v>#VALUE!</v>
      </c>
      <c r="J18" s="497" t="str">
        <f t="array" ref="J18">IFERROR(INDEX(productsCartons, SMALL(IF(productsQty&lt;&gt;0, ROW(productsQty)-ROW('BHPC MANAGER'!$CD$10)+1), ROW(L7))), "")</f>
        <v/>
      </c>
      <c r="K18" s="498" t="e">
        <f t="array" ref="K18">VLOOKUP(A18,bhpc_data[],26,FALSE)</f>
        <v>#N/A</v>
      </c>
    </row>
    <row r="19" spans="1:11" ht="15">
      <c r="A19" s="491" t="str">
        <f t="array" ref="A19">IFERROR(INDEX(productsSku, SMALL(IF(productsQty&lt;&gt;0, ROW(productsQty)-ROW('BHPC MANAGER'!$CD$10)+1), ROW(L8))), "")</f>
        <v/>
      </c>
      <c r="B19" s="483" t="str">
        <f t="array" ref="B19">IFERROR(INDEX(productsDescription, SMALL(IF(productsQty&lt;&gt;0, ROW(productsQty)-ROW('BHPC MANAGER'!$CD$10)+1), ROW(L8))), "")</f>
        <v/>
      </c>
      <c r="C19" s="492"/>
      <c r="D19" s="493"/>
      <c r="E19" s="494"/>
      <c r="F19" s="495" t="str">
        <f t="shared" si="0"/>
        <v/>
      </c>
      <c r="G19" s="496" t="str">
        <f t="array" ref="G19">IFERROR(INDEX(productsQty, SMALL(IF(productsQty&lt;&gt;0, ROW(productsQty)-ROW('BHPC MANAGER'!$CD$10)+1), ROW(L8))), "")</f>
        <v/>
      </c>
      <c r="H19" s="579" t="e">
        <f t="array" ref="H19">G19/VLOOKUP(A19,bhpc_data[],9,FALSE)*VLOOKUP(A19,bhpc_data[],17,FALSE)</f>
        <v>#VALUE!</v>
      </c>
      <c r="I19" s="580" t="e">
        <f t="array" ref="I19">G19/VLOOKUP(A19,bhpc_data[],9,FALSE)*VLOOKUP(A19,bhpc_data[],18,FALSE)</f>
        <v>#VALUE!</v>
      </c>
      <c r="J19" s="497" t="str">
        <f t="array" ref="J19">IFERROR(INDEX(productsCartons, SMALL(IF(productsQty&lt;&gt;0, ROW(productsQty)-ROW('BHPC MANAGER'!$CD$10)+1), ROW(L8))), "")</f>
        <v/>
      </c>
      <c r="K19" s="498" t="e">
        <f t="array" ref="K19">VLOOKUP(A19,bhpc_data[],26,FALSE)</f>
        <v>#N/A</v>
      </c>
    </row>
    <row r="20" spans="1:11" ht="15">
      <c r="A20" s="491" t="str">
        <f t="array" ref="A20">IFERROR(INDEX(productsSku, SMALL(IF(productsQty&lt;&gt;0, ROW(productsQty)-ROW('BHPC MANAGER'!$CD$10)+1), ROW(L9))), "")</f>
        <v/>
      </c>
      <c r="B20" s="483" t="str">
        <f t="array" ref="B20">IFERROR(INDEX(productsDescription, SMALL(IF(productsQty&lt;&gt;0, ROW(productsQty)-ROW('BHPC MANAGER'!$CD$10)+1), ROW(L9))), "")</f>
        <v/>
      </c>
      <c r="C20" s="492"/>
      <c r="D20" s="493"/>
      <c r="E20" s="494"/>
      <c r="F20" s="495" t="str">
        <f t="shared" si="0"/>
        <v/>
      </c>
      <c r="G20" s="496" t="str">
        <f t="array" ref="G20">IFERROR(INDEX(productsQty, SMALL(IF(productsQty&lt;&gt;0, ROW(productsQty)-ROW('BHPC MANAGER'!$CD$10)+1), ROW(L9))), "")</f>
        <v/>
      </c>
      <c r="H20" s="579" t="e">
        <f t="array" ref="H20">G20/VLOOKUP(A20,bhpc_data[],9,FALSE)*VLOOKUP(A20,bhpc_data[],17,FALSE)</f>
        <v>#VALUE!</v>
      </c>
      <c r="I20" s="580" t="e">
        <f t="array" ref="I20">G20/VLOOKUP(A20,bhpc_data[],9,FALSE)*VLOOKUP(A20,bhpc_data[],18,FALSE)</f>
        <v>#VALUE!</v>
      </c>
      <c r="J20" s="497" t="str">
        <f t="array" ref="J20">IFERROR(INDEX(productsCartons, SMALL(IF(productsQty&lt;&gt;0, ROW(productsQty)-ROW('BHPC MANAGER'!$CD$10)+1), ROW(L9))), "")</f>
        <v/>
      </c>
      <c r="K20" s="498" t="e">
        <f t="array" ref="K20">VLOOKUP(A20,bhpc_data[],26,FALSE)</f>
        <v>#N/A</v>
      </c>
    </row>
    <row r="21" spans="1:11" ht="15">
      <c r="A21" s="491" t="str">
        <f t="array" ref="A21">IFERROR(INDEX(productsSku, SMALL(IF(productsQty&lt;&gt;0, ROW(productsQty)-ROW('BHPC MANAGER'!$CD$10)+1), ROW(L10))), "")</f>
        <v/>
      </c>
      <c r="B21" s="483" t="str">
        <f t="array" ref="B21">IFERROR(INDEX(productsDescription, SMALL(IF(productsQty&lt;&gt;0, ROW(productsQty)-ROW('BHPC MANAGER'!$CD$10)+1), ROW(L10))), "")</f>
        <v/>
      </c>
      <c r="C21" s="492"/>
      <c r="D21" s="493"/>
      <c r="E21" s="494"/>
      <c r="F21" s="495" t="str">
        <f t="shared" si="0"/>
        <v/>
      </c>
      <c r="G21" s="496" t="str">
        <f t="array" ref="G21">IFERROR(INDEX(productsQty, SMALL(IF(productsQty&lt;&gt;0, ROW(productsQty)-ROW('BHPC MANAGER'!$CD$10)+1), ROW(L10))), "")</f>
        <v/>
      </c>
      <c r="H21" s="579" t="e">
        <f t="array" ref="H21">G21/VLOOKUP(A21,bhpc_data[],9,FALSE)*VLOOKUP(A21,bhpc_data[],17,FALSE)</f>
        <v>#VALUE!</v>
      </c>
      <c r="I21" s="580" t="e">
        <f t="array" ref="I21">G21/VLOOKUP(A21,bhpc_data[],9,FALSE)*VLOOKUP(A21,bhpc_data[],18,FALSE)</f>
        <v>#VALUE!</v>
      </c>
      <c r="J21" s="497" t="str">
        <f t="array" ref="J21">IFERROR(INDEX(productsCartons, SMALL(IF(productsQty&lt;&gt;0, ROW(productsQty)-ROW('BHPC MANAGER'!$CD$10)+1), ROW(L10))), "")</f>
        <v/>
      </c>
      <c r="K21" s="498" t="e">
        <f t="array" ref="K21">VLOOKUP(A21,bhpc_data[],26,FALSE)</f>
        <v>#N/A</v>
      </c>
    </row>
    <row r="22" spans="1:11" ht="15">
      <c r="A22" s="491" t="str">
        <f t="array" ref="A22">IFERROR(INDEX(productsSku, SMALL(IF(productsQty&lt;&gt;0, ROW(productsQty)-ROW('BHPC MANAGER'!$CD$10)+1), ROW(L11))), "")</f>
        <v/>
      </c>
      <c r="B22" s="483" t="str">
        <f t="array" ref="B22">IFERROR(INDEX(productsDescription, SMALL(IF(productsQty&lt;&gt;0, ROW(productsQty)-ROW('BHPC MANAGER'!$CD$10)+1), ROW(L11))), "")</f>
        <v/>
      </c>
      <c r="C22" s="492"/>
      <c r="D22" s="493"/>
      <c r="E22" s="494"/>
      <c r="F22" s="495" t="str">
        <f t="shared" si="0"/>
        <v/>
      </c>
      <c r="G22" s="496" t="str">
        <f t="array" ref="G22">IFERROR(INDEX(productsQty, SMALL(IF(productsQty&lt;&gt;0, ROW(productsQty)-ROW('BHPC MANAGER'!$CD$10)+1), ROW(L11))), "")</f>
        <v/>
      </c>
      <c r="H22" s="579" t="e">
        <f t="array" ref="H22">G22/VLOOKUP(A22,bhpc_data[],9,FALSE)*VLOOKUP(A22,bhpc_data[],17,FALSE)</f>
        <v>#VALUE!</v>
      </c>
      <c r="I22" s="580" t="e">
        <f t="array" ref="I22">G22/VLOOKUP(A22,bhpc_data[],9,FALSE)*VLOOKUP(A22,bhpc_data[],18,FALSE)</f>
        <v>#VALUE!</v>
      </c>
      <c r="J22" s="497" t="str">
        <f t="array" ref="J22">IFERROR(INDEX(productsCartons, SMALL(IF(productsQty&lt;&gt;0, ROW(productsQty)-ROW('BHPC MANAGER'!$CD$10)+1), ROW(L11))), "")</f>
        <v/>
      </c>
      <c r="K22" s="498" t="e">
        <f t="array" ref="K22">VLOOKUP(A22,bhpc_data[],26,FALSE)</f>
        <v>#N/A</v>
      </c>
    </row>
    <row r="23" spans="1:11" ht="15">
      <c r="A23" s="491" t="str">
        <f t="array" ref="A23">IFERROR(INDEX(productsSku, SMALL(IF(productsQty&lt;&gt;0, ROW(productsQty)-ROW('BHPC MANAGER'!$CD$10)+1), ROW(L12))), "")</f>
        <v/>
      </c>
      <c r="B23" s="483" t="str">
        <f t="array" ref="B23">IFERROR(INDEX(productsDescription, SMALL(IF(productsQty&lt;&gt;0, ROW(productsQty)-ROW('BHPC MANAGER'!$CD$10)+1), ROW(L12))), "")</f>
        <v/>
      </c>
      <c r="C23" s="492"/>
      <c r="D23" s="493"/>
      <c r="E23" s="494"/>
      <c r="F23" s="495" t="str">
        <f t="shared" si="0"/>
        <v/>
      </c>
      <c r="G23" s="496" t="str">
        <f t="array" ref="G23">IFERROR(INDEX(productsQty, SMALL(IF(productsQty&lt;&gt;0, ROW(productsQty)-ROW('BHPC MANAGER'!$CD$10)+1), ROW(L12))), "")</f>
        <v/>
      </c>
      <c r="H23" s="579" t="e">
        <f t="array" ref="H23">G23/VLOOKUP(A23,bhpc_data[],9,FALSE)*VLOOKUP(A23,bhpc_data[],17,FALSE)</f>
        <v>#VALUE!</v>
      </c>
      <c r="I23" s="580" t="e">
        <f t="array" ref="I23">G23/VLOOKUP(A23,bhpc_data[],9,FALSE)*VLOOKUP(A23,bhpc_data[],18,FALSE)</f>
        <v>#VALUE!</v>
      </c>
      <c r="J23" s="497" t="str">
        <f t="array" ref="J23">IFERROR(INDEX(productsCartons, SMALL(IF(productsQty&lt;&gt;0, ROW(productsQty)-ROW('BHPC MANAGER'!$CD$10)+1), ROW(L12))), "")</f>
        <v/>
      </c>
      <c r="K23" s="498" t="e">
        <f t="array" ref="K23">VLOOKUP(A23,bhpc_data[],26,FALSE)</f>
        <v>#N/A</v>
      </c>
    </row>
    <row r="24" spans="1:11" ht="15">
      <c r="A24" s="491" t="str">
        <f t="array" ref="A24">IFERROR(INDEX(productsSku, SMALL(IF(productsQty&lt;&gt;0, ROW(productsQty)-ROW('BHPC MANAGER'!$CD$10)+1), ROW(L13))), "")</f>
        <v/>
      </c>
      <c r="B24" s="483" t="str">
        <f t="array" ref="B24">IFERROR(INDEX(productsDescription, SMALL(IF(productsQty&lt;&gt;0, ROW(productsQty)-ROW('BHPC MANAGER'!$CD$10)+1), ROW(L13))), "")</f>
        <v/>
      </c>
      <c r="C24" s="492"/>
      <c r="D24" s="493"/>
      <c r="E24" s="494"/>
      <c r="F24" s="495" t="str">
        <f t="shared" si="0"/>
        <v/>
      </c>
      <c r="G24" s="496" t="str">
        <f t="array" ref="G24">IFERROR(INDEX(productsQty, SMALL(IF(productsQty&lt;&gt;0, ROW(productsQty)-ROW('BHPC MANAGER'!$CD$10)+1), ROW(L13))), "")</f>
        <v/>
      </c>
      <c r="H24" s="579" t="e">
        <f t="array" ref="H24">G24/VLOOKUP(A24,bhpc_data[],9,FALSE)*VLOOKUP(A24,bhpc_data[],17,FALSE)</f>
        <v>#VALUE!</v>
      </c>
      <c r="I24" s="580" t="e">
        <f t="array" ref="I24">G24/VLOOKUP(A24,bhpc_data[],9,FALSE)*VLOOKUP(A24,bhpc_data[],18,FALSE)</f>
        <v>#VALUE!</v>
      </c>
      <c r="J24" s="497" t="str">
        <f t="array" ref="J24">IFERROR(INDEX(productsCartons, SMALL(IF(productsQty&lt;&gt;0, ROW(productsQty)-ROW('BHPC MANAGER'!$CD$10)+1), ROW(L13))), "")</f>
        <v/>
      </c>
      <c r="K24" s="498" t="e">
        <f t="array" ref="K24">VLOOKUP(A24,bhpc_data[],26,FALSE)</f>
        <v>#N/A</v>
      </c>
    </row>
    <row r="25" spans="1:11" ht="15">
      <c r="A25" s="491" t="str">
        <f t="array" ref="A25">IFERROR(INDEX(productsSku, SMALL(IF(productsQty&lt;&gt;0, ROW(productsQty)-ROW('BHPC MANAGER'!$CD$10)+1), ROW(L14))), "")</f>
        <v/>
      </c>
      <c r="B25" s="483" t="str">
        <f t="array" ref="B25">IFERROR(INDEX(productsDescription, SMALL(IF(productsQty&lt;&gt;0, ROW(productsQty)-ROW('BHPC MANAGER'!$CD$10)+1), ROW(L14))), "")</f>
        <v/>
      </c>
      <c r="C25" s="492"/>
      <c r="D25" s="493"/>
      <c r="E25" s="494"/>
      <c r="F25" s="495" t="str">
        <f t="shared" si="0"/>
        <v/>
      </c>
      <c r="G25" s="496" t="str">
        <f t="array" ref="G25">IFERROR(INDEX(productsQty, SMALL(IF(productsQty&lt;&gt;0, ROW(productsQty)-ROW('BHPC MANAGER'!$CD$10)+1), ROW(L14))), "")</f>
        <v/>
      </c>
      <c r="H25" s="579" t="e">
        <f t="array" ref="H25">G25/VLOOKUP(A25,bhpc_data[],9,FALSE)*VLOOKUP(A25,bhpc_data[],17,FALSE)</f>
        <v>#VALUE!</v>
      </c>
      <c r="I25" s="580" t="e">
        <f t="array" ref="I25">G25/VLOOKUP(A25,bhpc_data[],9,FALSE)*VLOOKUP(A25,bhpc_data[],18,FALSE)</f>
        <v>#VALUE!</v>
      </c>
      <c r="J25" s="497" t="str">
        <f t="array" ref="J25">IFERROR(INDEX(productsCartons, SMALL(IF(productsQty&lt;&gt;0, ROW(productsQty)-ROW('BHPC MANAGER'!$CD$10)+1), ROW(L14))), "")</f>
        <v/>
      </c>
      <c r="K25" s="498" t="e">
        <f t="array" ref="K25">VLOOKUP(A25,bhpc_data[],26,FALSE)</f>
        <v>#N/A</v>
      </c>
    </row>
    <row r="26" spans="1:11" ht="15">
      <c r="A26" s="491" t="str">
        <f t="array" ref="A26">IFERROR(INDEX(productsSku, SMALL(IF(productsQty&lt;&gt;0, ROW(productsQty)-ROW('BHPC MANAGER'!$CD$10)+1), ROW(L15))), "")</f>
        <v/>
      </c>
      <c r="B26" s="483" t="str">
        <f t="array" ref="B26">IFERROR(INDEX(productsDescription, SMALL(IF(productsQty&lt;&gt;0, ROW(productsQty)-ROW('BHPC MANAGER'!$CD$10)+1), ROW(L15))), "")</f>
        <v/>
      </c>
      <c r="C26" s="492"/>
      <c r="D26" s="493"/>
      <c r="E26" s="494"/>
      <c r="F26" s="495" t="str">
        <f t="shared" si="0"/>
        <v/>
      </c>
      <c r="G26" s="496" t="str">
        <f t="array" ref="G26">IFERROR(INDEX(productsQty, SMALL(IF(productsQty&lt;&gt;0, ROW(productsQty)-ROW('BHPC MANAGER'!$CD$10)+1), ROW(L15))), "")</f>
        <v/>
      </c>
      <c r="H26" s="579" t="e">
        <f t="array" ref="H26">G26/VLOOKUP(A26,bhpc_data[],9,FALSE)*VLOOKUP(A26,bhpc_data[],17,FALSE)</f>
        <v>#VALUE!</v>
      </c>
      <c r="I26" s="580" t="e">
        <f t="array" ref="I26">G26/VLOOKUP(A26,bhpc_data[],9,FALSE)*VLOOKUP(A26,bhpc_data[],18,FALSE)</f>
        <v>#VALUE!</v>
      </c>
      <c r="J26" s="497" t="str">
        <f t="array" ref="J26">IFERROR(INDEX(productsCartons, SMALL(IF(productsQty&lt;&gt;0, ROW(productsQty)-ROW('BHPC MANAGER'!$CD$10)+1), ROW(L15))), "")</f>
        <v/>
      </c>
      <c r="K26" s="498" t="e">
        <f t="array" ref="K26">VLOOKUP(A26,bhpc_data[],26,FALSE)</f>
        <v>#N/A</v>
      </c>
    </row>
    <row r="27" spans="1:11" ht="15">
      <c r="A27" s="491" t="str">
        <f t="array" ref="A27">IFERROR(INDEX(productsSku, SMALL(IF(productsQty&lt;&gt;0, ROW(productsQty)-ROW('BHPC MANAGER'!$CD$10)+1), ROW(L16))), "")</f>
        <v/>
      </c>
      <c r="B27" s="483" t="str">
        <f t="array" ref="B27">IFERROR(INDEX(productsDescription, SMALL(IF(productsQty&lt;&gt;0, ROW(productsQty)-ROW('BHPC MANAGER'!$CD$10)+1), ROW(L16))), "")</f>
        <v/>
      </c>
      <c r="C27" s="492"/>
      <c r="D27" s="493"/>
      <c r="E27" s="494"/>
      <c r="F27" s="495" t="str">
        <f t="shared" si="0"/>
        <v/>
      </c>
      <c r="G27" s="496" t="str">
        <f t="array" ref="G27">IFERROR(INDEX(productsQty, SMALL(IF(productsQty&lt;&gt;0, ROW(productsQty)-ROW('BHPC MANAGER'!$CD$10)+1), ROW(L16))), "")</f>
        <v/>
      </c>
      <c r="H27" s="579" t="e">
        <f t="array" ref="H27">G27/VLOOKUP(A27,bhpc_data[],9,FALSE)*VLOOKUP(A27,bhpc_data[],17,FALSE)</f>
        <v>#VALUE!</v>
      </c>
      <c r="I27" s="580" t="e">
        <f t="array" ref="I27">G27/VLOOKUP(A27,bhpc_data[],9,FALSE)*VLOOKUP(A27,bhpc_data[],18,FALSE)</f>
        <v>#VALUE!</v>
      </c>
      <c r="J27" s="497" t="str">
        <f t="array" ref="J27">IFERROR(INDEX(productsCartons, SMALL(IF(productsQty&lt;&gt;0, ROW(productsQty)-ROW('BHPC MANAGER'!$CD$10)+1), ROW(L16))), "")</f>
        <v/>
      </c>
      <c r="K27" s="498" t="e">
        <f t="array" ref="K27">VLOOKUP(A27,bhpc_data[],26,FALSE)</f>
        <v>#N/A</v>
      </c>
    </row>
    <row r="28" spans="1:11" ht="15">
      <c r="A28" s="491" t="str">
        <f t="array" ref="A28">IFERROR(INDEX(productsSku, SMALL(IF(productsQty&lt;&gt;0, ROW(productsQty)-ROW('BHPC MANAGER'!$CD$10)+1), ROW(L17))), "")</f>
        <v/>
      </c>
      <c r="B28" s="483" t="str">
        <f t="array" ref="B28">IFERROR(INDEX(productsDescription, SMALL(IF(productsQty&lt;&gt;0, ROW(productsQty)-ROW('BHPC MANAGER'!$CD$10)+1), ROW(L17))), "")</f>
        <v/>
      </c>
      <c r="C28" s="492"/>
      <c r="D28" s="493"/>
      <c r="E28" s="494"/>
      <c r="F28" s="495" t="str">
        <f t="shared" si="0"/>
        <v/>
      </c>
      <c r="G28" s="496" t="str">
        <f t="array" ref="G28">IFERROR(INDEX(productsQty, SMALL(IF(productsQty&lt;&gt;0, ROW(productsQty)-ROW('BHPC MANAGER'!$CD$10)+1), ROW(L17))), "")</f>
        <v/>
      </c>
      <c r="H28" s="579" t="e">
        <f t="array" ref="H28">G28/VLOOKUP(A28,bhpc_data[],9,FALSE)*VLOOKUP(A28,bhpc_data[],17,FALSE)</f>
        <v>#VALUE!</v>
      </c>
      <c r="I28" s="580" t="e">
        <f t="array" ref="I28">G28/VLOOKUP(A28,bhpc_data[],9,FALSE)*VLOOKUP(A28,bhpc_data[],18,FALSE)</f>
        <v>#VALUE!</v>
      </c>
      <c r="J28" s="497" t="str">
        <f t="array" ref="J28">IFERROR(INDEX(productsCartons, SMALL(IF(productsQty&lt;&gt;0, ROW(productsQty)-ROW('BHPC MANAGER'!$CD$10)+1), ROW(L17))), "")</f>
        <v/>
      </c>
      <c r="K28" s="498" t="e">
        <f t="array" ref="K28">VLOOKUP(A28,bhpc_data[],26,FALSE)</f>
        <v>#N/A</v>
      </c>
    </row>
    <row r="29" spans="1:11" ht="15">
      <c r="A29" s="491" t="str">
        <f t="array" ref="A29">IFERROR(INDEX(productsSku, SMALL(IF(productsQty&lt;&gt;0, ROW(productsQty)-ROW('BHPC MANAGER'!$CD$10)+1), ROW(L18))), "")</f>
        <v/>
      </c>
      <c r="B29" s="483" t="str">
        <f t="array" ref="B29">IFERROR(INDEX(productsDescription, SMALL(IF(productsQty&lt;&gt;0, ROW(productsQty)-ROW('BHPC MANAGER'!$CD$10)+1), ROW(L18))), "")</f>
        <v/>
      </c>
      <c r="C29" s="492"/>
      <c r="D29" s="493"/>
      <c r="E29" s="494"/>
      <c r="F29" s="495" t="str">
        <f t="shared" si="0"/>
        <v/>
      </c>
      <c r="G29" s="496" t="str">
        <f t="array" ref="G29">IFERROR(INDEX(productsQty, SMALL(IF(productsQty&lt;&gt;0, ROW(productsQty)-ROW('BHPC MANAGER'!$CD$10)+1), ROW(L18))), "")</f>
        <v/>
      </c>
      <c r="H29" s="579" t="e">
        <f t="array" ref="H29">G29/VLOOKUP(A29,bhpc_data[],9,FALSE)*VLOOKUP(A29,bhpc_data[],17,FALSE)</f>
        <v>#VALUE!</v>
      </c>
      <c r="I29" s="580" t="e">
        <f t="array" ref="I29">G29/VLOOKUP(A29,bhpc_data[],9,FALSE)*VLOOKUP(A29,bhpc_data[],18,FALSE)</f>
        <v>#VALUE!</v>
      </c>
      <c r="J29" s="497" t="str">
        <f t="array" ref="J29">IFERROR(INDEX(productsCartons, SMALL(IF(productsQty&lt;&gt;0, ROW(productsQty)-ROW('BHPC MANAGER'!$CD$10)+1), ROW(L18))), "")</f>
        <v/>
      </c>
      <c r="K29" s="498" t="e">
        <f t="array" ref="K29">VLOOKUP(A29,bhpc_data[],26,FALSE)</f>
        <v>#N/A</v>
      </c>
    </row>
    <row r="30" spans="1:11" ht="15">
      <c r="A30" s="491" t="str">
        <f t="array" ref="A30">IFERROR(INDEX(productsSku, SMALL(IF(productsQty&lt;&gt;0, ROW(productsQty)-ROW('BHPC MANAGER'!$CD$10)+1), ROW(L19))), "")</f>
        <v/>
      </c>
      <c r="B30" s="483" t="str">
        <f t="array" ref="B30">IFERROR(INDEX(productsDescription, SMALL(IF(productsQty&lt;&gt;0, ROW(productsQty)-ROW('BHPC MANAGER'!$CD$10)+1), ROW(L19))), "")</f>
        <v/>
      </c>
      <c r="C30" s="492"/>
      <c r="D30" s="493"/>
      <c r="E30" s="494"/>
      <c r="F30" s="495" t="str">
        <f t="shared" si="0"/>
        <v/>
      </c>
      <c r="G30" s="496" t="str">
        <f t="array" ref="G30">IFERROR(INDEX(productsQty, SMALL(IF(productsQty&lt;&gt;0, ROW(productsQty)-ROW('BHPC MANAGER'!$CD$10)+1), ROW(L19))), "")</f>
        <v/>
      </c>
      <c r="H30" s="579" t="e">
        <f t="array" ref="H30">G30/VLOOKUP(A30,bhpc_data[],9,FALSE)*VLOOKUP(A30,bhpc_data[],17,FALSE)</f>
        <v>#VALUE!</v>
      </c>
      <c r="I30" s="580" t="e">
        <f t="array" ref="I30">G30/VLOOKUP(A30,bhpc_data[],9,FALSE)*VLOOKUP(A30,bhpc_data[],18,FALSE)</f>
        <v>#VALUE!</v>
      </c>
      <c r="J30" s="497" t="str">
        <f t="array" ref="J30">IFERROR(INDEX(productsCartons, SMALL(IF(productsQty&lt;&gt;0, ROW(productsQty)-ROW('BHPC MANAGER'!$CD$10)+1), ROW(L19))), "")</f>
        <v/>
      </c>
      <c r="K30" s="498" t="e">
        <f t="array" ref="K30">VLOOKUP(A30,bhpc_data[],26,FALSE)</f>
        <v>#N/A</v>
      </c>
    </row>
    <row r="31" spans="1:11" ht="15">
      <c r="A31" s="491" t="str">
        <f t="array" ref="A31">IFERROR(INDEX(productsSku, SMALL(IF(productsQty&lt;&gt;0, ROW(productsQty)-ROW('BHPC MANAGER'!$CD$10)+1), ROW(L20))), "")</f>
        <v/>
      </c>
      <c r="B31" s="483" t="str">
        <f t="array" ref="B31">IFERROR(INDEX(productsDescription, SMALL(IF(productsQty&lt;&gt;0, ROW(productsQty)-ROW('BHPC MANAGER'!$CD$10)+1), ROW(L20))), "")</f>
        <v/>
      </c>
      <c r="C31" s="492"/>
      <c r="D31" s="493"/>
      <c r="E31" s="494"/>
      <c r="F31" s="495" t="str">
        <f t="shared" si="0"/>
        <v/>
      </c>
      <c r="G31" s="496" t="str">
        <f t="array" ref="G31">IFERROR(INDEX(productsQty, SMALL(IF(productsQty&lt;&gt;0, ROW(productsQty)-ROW('BHPC MANAGER'!$CD$10)+1), ROW(L20))), "")</f>
        <v/>
      </c>
      <c r="H31" s="579" t="e">
        <f t="array" ref="H31">G31/VLOOKUP(A31,bhpc_data[],9,FALSE)*VLOOKUP(A31,bhpc_data[],17,FALSE)</f>
        <v>#VALUE!</v>
      </c>
      <c r="I31" s="580" t="e">
        <f t="array" ref="I31">G31/VLOOKUP(A31,bhpc_data[],9,FALSE)*VLOOKUP(A31,bhpc_data[],18,FALSE)</f>
        <v>#VALUE!</v>
      </c>
      <c r="J31" s="497" t="str">
        <f t="array" ref="J31">IFERROR(INDEX(productsCartons, SMALL(IF(productsQty&lt;&gt;0, ROW(productsQty)-ROW('BHPC MANAGER'!$CD$10)+1), ROW(L20))), "")</f>
        <v/>
      </c>
      <c r="K31" s="498" t="e">
        <f t="array" ref="K31">VLOOKUP(A31,bhpc_data[],26,FALSE)</f>
        <v>#N/A</v>
      </c>
    </row>
    <row r="32" spans="1:11" ht="15">
      <c r="A32" s="491" t="str">
        <f t="array" ref="A32">IFERROR(INDEX(productsSku, SMALL(IF(productsQty&lt;&gt;0, ROW(productsQty)-ROW('BHPC MANAGER'!$CD$10)+1), ROW(L21))), "")</f>
        <v/>
      </c>
      <c r="B32" s="483" t="str">
        <f t="array" ref="B32">IFERROR(INDEX(productsDescription, SMALL(IF(productsQty&lt;&gt;0, ROW(productsQty)-ROW('BHPC MANAGER'!$CD$10)+1), ROW(L21))), "")</f>
        <v/>
      </c>
      <c r="C32" s="492"/>
      <c r="D32" s="493"/>
      <c r="E32" s="494"/>
      <c r="F32" s="495" t="str">
        <f t="shared" si="0"/>
        <v/>
      </c>
      <c r="G32" s="496" t="str">
        <f t="array" ref="G32">IFERROR(INDEX(productsQty, SMALL(IF(productsQty&lt;&gt;0, ROW(productsQty)-ROW('BHPC MANAGER'!$CD$10)+1), ROW(L21))), "")</f>
        <v/>
      </c>
      <c r="H32" s="579" t="e">
        <f t="array" ref="H32">G32/VLOOKUP(A32,bhpc_data[],9,FALSE)*VLOOKUP(A32,bhpc_data[],17,FALSE)</f>
        <v>#VALUE!</v>
      </c>
      <c r="I32" s="580" t="e">
        <f t="array" ref="I32">G32/VLOOKUP(A32,bhpc_data[],9,FALSE)*VLOOKUP(A32,bhpc_data[],18,FALSE)</f>
        <v>#VALUE!</v>
      </c>
      <c r="J32" s="497" t="str">
        <f t="array" ref="J32">IFERROR(INDEX(productsCartons, SMALL(IF(productsQty&lt;&gt;0, ROW(productsQty)-ROW('BHPC MANAGER'!$CD$10)+1), ROW(L21))), "")</f>
        <v/>
      </c>
      <c r="K32" s="498" t="e">
        <f t="array" ref="K32">VLOOKUP(A32,bhpc_data[],26,FALSE)</f>
        <v>#N/A</v>
      </c>
    </row>
    <row r="33" spans="1:11" ht="15">
      <c r="A33" s="491" t="str">
        <f t="array" ref="A33">IFERROR(INDEX(productsSku, SMALL(IF(productsQty&lt;&gt;0, ROW(productsQty)-ROW('BHPC MANAGER'!$CD$10)+1), ROW(L22))), "")</f>
        <v/>
      </c>
      <c r="B33" s="483" t="str">
        <f t="array" ref="B33">IFERROR(INDEX(productsDescription, SMALL(IF(productsQty&lt;&gt;0, ROW(productsQty)-ROW('BHPC MANAGER'!$CD$10)+1), ROW(L22))), "")</f>
        <v/>
      </c>
      <c r="C33" s="492"/>
      <c r="D33" s="493"/>
      <c r="E33" s="494"/>
      <c r="F33" s="495" t="str">
        <f t="shared" si="0"/>
        <v/>
      </c>
      <c r="G33" s="496" t="str">
        <f t="array" ref="G33">IFERROR(INDEX(productsQty, SMALL(IF(productsQty&lt;&gt;0, ROW(productsQty)-ROW('BHPC MANAGER'!$CD$10)+1), ROW(L22))), "")</f>
        <v/>
      </c>
      <c r="H33" s="579" t="e">
        <f t="array" ref="H33">G33/VLOOKUP(A33,bhpc_data[],9,FALSE)*VLOOKUP(A33,bhpc_data[],17,FALSE)</f>
        <v>#VALUE!</v>
      </c>
      <c r="I33" s="580" t="e">
        <f t="array" ref="I33">G33/VLOOKUP(A33,bhpc_data[],9,FALSE)*VLOOKUP(A33,bhpc_data[],18,FALSE)</f>
        <v>#VALUE!</v>
      </c>
      <c r="J33" s="497" t="str">
        <f t="array" ref="J33">IFERROR(INDEX(productsCartons, SMALL(IF(productsQty&lt;&gt;0, ROW(productsQty)-ROW('BHPC MANAGER'!$CD$10)+1), ROW(L22))), "")</f>
        <v/>
      </c>
      <c r="K33" s="498" t="e">
        <f t="array" ref="K33">VLOOKUP(A33,bhpc_data[],26,FALSE)</f>
        <v>#N/A</v>
      </c>
    </row>
    <row r="34" spans="1:11" ht="15">
      <c r="A34" s="491" t="str">
        <f t="array" ref="A34">IFERROR(INDEX(productsSku, SMALL(IF(productsQty&lt;&gt;0, ROW(productsQty)-ROW('BHPC MANAGER'!$CD$10)+1), ROW(L23))), "")</f>
        <v/>
      </c>
      <c r="B34" s="483" t="str">
        <f t="array" ref="B34">IFERROR(INDEX(productsDescription, SMALL(IF(productsQty&lt;&gt;0, ROW(productsQty)-ROW('BHPC MANAGER'!$CD$10)+1), ROW(L23))), "")</f>
        <v/>
      </c>
      <c r="C34" s="492"/>
      <c r="D34" s="493"/>
      <c r="E34" s="494"/>
      <c r="F34" s="495" t="str">
        <f t="shared" si="0"/>
        <v/>
      </c>
      <c r="G34" s="496" t="str">
        <f t="array" ref="G34">IFERROR(INDEX(productsQty, SMALL(IF(productsQty&lt;&gt;0, ROW(productsQty)-ROW('BHPC MANAGER'!$CD$10)+1), ROW(L23))), "")</f>
        <v/>
      </c>
      <c r="H34" s="579" t="e">
        <f t="array" ref="H34">G34/VLOOKUP(A34,bhpc_data[],9,FALSE)*VLOOKUP(A34,bhpc_data[],17,FALSE)</f>
        <v>#VALUE!</v>
      </c>
      <c r="I34" s="580" t="e">
        <f t="array" ref="I34">G34/VLOOKUP(A34,bhpc_data[],9,FALSE)*VLOOKUP(A34,bhpc_data[],18,FALSE)</f>
        <v>#VALUE!</v>
      </c>
      <c r="J34" s="497" t="str">
        <f t="array" ref="J34">IFERROR(INDEX(productsCartons, SMALL(IF(productsQty&lt;&gt;0, ROW(productsQty)-ROW('BHPC MANAGER'!$CD$10)+1), ROW(L23))), "")</f>
        <v/>
      </c>
      <c r="K34" s="498" t="e">
        <f t="array" ref="K34">VLOOKUP(A34,bhpc_data[],26,FALSE)</f>
        <v>#N/A</v>
      </c>
    </row>
    <row r="35" spans="1:11" ht="15">
      <c r="A35" s="491" t="str">
        <f t="array" ref="A35">IFERROR(INDEX(productsSku, SMALL(IF(productsQty&lt;&gt;0, ROW(productsQty)-ROW('BHPC MANAGER'!$CD$10)+1), ROW(L24))), "")</f>
        <v/>
      </c>
      <c r="B35" s="483" t="str">
        <f t="array" ref="B35">IFERROR(INDEX(productsDescription, SMALL(IF(productsQty&lt;&gt;0, ROW(productsQty)-ROW('BHPC MANAGER'!$CD$10)+1), ROW(L24))), "")</f>
        <v/>
      </c>
      <c r="C35" s="492"/>
      <c r="D35" s="493"/>
      <c r="E35" s="494"/>
      <c r="F35" s="495" t="str">
        <f t="shared" si="0"/>
        <v/>
      </c>
      <c r="G35" s="496" t="str">
        <f t="array" ref="G35">IFERROR(INDEX(productsQty, SMALL(IF(productsQty&lt;&gt;0, ROW(productsQty)-ROW('BHPC MANAGER'!$CD$10)+1), ROW(L24))), "")</f>
        <v/>
      </c>
      <c r="H35" s="579" t="e">
        <f t="array" ref="H35">G35/VLOOKUP(A35,bhpc_data[],9,FALSE)*VLOOKUP(A35,bhpc_data[],17,FALSE)</f>
        <v>#VALUE!</v>
      </c>
      <c r="I35" s="580" t="e">
        <f t="array" ref="I35">G35/VLOOKUP(A35,bhpc_data[],9,FALSE)*VLOOKUP(A35,bhpc_data[],18,FALSE)</f>
        <v>#VALUE!</v>
      </c>
      <c r="J35" s="497" t="str">
        <f t="array" ref="J35">IFERROR(INDEX(productsCartons, SMALL(IF(productsQty&lt;&gt;0, ROW(productsQty)-ROW('BHPC MANAGER'!$CD$10)+1), ROW(L24))), "")</f>
        <v/>
      </c>
      <c r="K35" s="498" t="e">
        <f t="array" ref="K35">VLOOKUP(A35,bhpc_data[],26,FALSE)</f>
        <v>#N/A</v>
      </c>
    </row>
    <row r="36" spans="1:11" ht="15">
      <c r="A36" s="491"/>
      <c r="B36" s="483"/>
      <c r="C36" s="492"/>
      <c r="D36" s="493"/>
      <c r="E36" s="494"/>
      <c r="F36" s="495"/>
      <c r="G36" s="496"/>
      <c r="H36" s="579"/>
      <c r="I36" s="580"/>
      <c r="J36" s="497"/>
      <c r="K36" s="498"/>
    </row>
    <row r="37" spans="1:11" ht="15">
      <c r="A37" s="491"/>
      <c r="B37" s="483"/>
      <c r="C37" s="492"/>
      <c r="D37" s="493"/>
      <c r="E37" s="494"/>
      <c r="F37" s="495"/>
      <c r="G37" s="496"/>
      <c r="H37" s="579"/>
      <c r="I37" s="580"/>
      <c r="J37" s="497"/>
      <c r="K37" s="498"/>
    </row>
    <row r="38" spans="1:11" ht="15">
      <c r="A38" s="491"/>
      <c r="B38" s="483"/>
      <c r="C38" s="492"/>
      <c r="D38" s="493"/>
      <c r="E38" s="494"/>
      <c r="F38" s="495"/>
      <c r="G38" s="496"/>
      <c r="H38" s="579"/>
      <c r="I38" s="580"/>
      <c r="J38" s="497"/>
      <c r="K38" s="498"/>
    </row>
    <row r="39" spans="1:11" ht="15">
      <c r="A39" s="491"/>
      <c r="B39" s="483"/>
      <c r="C39" s="492"/>
      <c r="D39" s="493"/>
      <c r="E39" s="494"/>
      <c r="F39" s="495"/>
      <c r="G39" s="496"/>
      <c r="H39" s="579"/>
      <c r="I39" s="580"/>
      <c r="J39" s="497"/>
      <c r="K39" s="498"/>
    </row>
    <row r="40" spans="1:11" ht="15">
      <c r="A40" s="491"/>
      <c r="B40" s="483"/>
      <c r="C40" s="492"/>
      <c r="D40" s="493"/>
      <c r="E40" s="494"/>
      <c r="F40" s="495"/>
      <c r="G40" s="496"/>
      <c r="H40" s="579"/>
      <c r="I40" s="580"/>
      <c r="J40" s="497"/>
      <c r="K40" s="498"/>
    </row>
    <row r="41" spans="1:11" ht="15">
      <c r="A41" s="491"/>
      <c r="B41" s="483"/>
      <c r="C41" s="492"/>
      <c r="D41" s="493"/>
      <c r="E41" s="494"/>
      <c r="F41" s="495"/>
      <c r="G41" s="496"/>
      <c r="H41" s="579"/>
      <c r="I41" s="580"/>
      <c r="J41" s="497"/>
      <c r="K41" s="498"/>
    </row>
    <row r="42" spans="1:11" ht="15">
      <c r="A42" s="491"/>
      <c r="B42" s="483"/>
      <c r="C42" s="492"/>
      <c r="D42" s="493"/>
      <c r="E42" s="494"/>
      <c r="F42" s="495"/>
      <c r="G42" s="496"/>
      <c r="H42" s="579"/>
      <c r="I42" s="580"/>
      <c r="J42" s="497"/>
      <c r="K42" s="498"/>
    </row>
    <row r="43" spans="1:11" ht="15">
      <c r="A43" s="491"/>
      <c r="B43" s="483"/>
      <c r="C43" s="492"/>
      <c r="D43" s="493"/>
      <c r="E43" s="494"/>
      <c r="F43" s="495"/>
      <c r="G43" s="496"/>
      <c r="H43" s="579"/>
      <c r="I43" s="580"/>
      <c r="J43" s="497"/>
      <c r="K43" s="498"/>
    </row>
    <row r="44" spans="1:11" ht="15">
      <c r="A44" s="491"/>
      <c r="B44" s="483"/>
      <c r="C44" s="492"/>
      <c r="D44" s="493"/>
      <c r="E44" s="494"/>
      <c r="F44" s="495"/>
      <c r="G44" s="496"/>
      <c r="H44" s="579"/>
      <c r="I44" s="580"/>
      <c r="J44" s="497"/>
      <c r="K44" s="498"/>
    </row>
    <row r="45" spans="1:11" ht="15">
      <c r="A45" s="491"/>
      <c r="B45" s="483"/>
      <c r="C45" s="492"/>
      <c r="D45" s="493"/>
      <c r="E45" s="494"/>
      <c r="F45" s="495"/>
      <c r="G45" s="496"/>
      <c r="H45" s="579"/>
      <c r="I45" s="580"/>
      <c r="J45" s="497"/>
      <c r="K45" s="498"/>
    </row>
    <row r="46" spans="1:11" ht="15">
      <c r="A46" s="491"/>
      <c r="B46" s="483"/>
      <c r="C46" s="492"/>
      <c r="D46" s="493"/>
      <c r="E46" s="494"/>
      <c r="F46" s="495"/>
      <c r="G46" s="496"/>
      <c r="H46" s="579"/>
      <c r="I46" s="580"/>
      <c r="J46" s="497"/>
      <c r="K46" s="498"/>
    </row>
    <row r="47" spans="1:11" ht="15">
      <c r="A47" s="491"/>
      <c r="B47" s="483"/>
      <c r="C47" s="492"/>
      <c r="D47" s="493"/>
      <c r="E47" s="494"/>
      <c r="F47" s="495"/>
      <c r="G47" s="496"/>
      <c r="H47" s="579"/>
      <c r="I47" s="580"/>
      <c r="J47" s="497"/>
      <c r="K47" s="498"/>
    </row>
    <row r="48" spans="1:11" ht="15">
      <c r="A48" s="491"/>
      <c r="B48" s="483"/>
      <c r="C48" s="492"/>
      <c r="D48" s="493"/>
      <c r="E48" s="494"/>
      <c r="F48" s="495"/>
      <c r="G48" s="496"/>
      <c r="H48" s="579"/>
      <c r="I48" s="580"/>
      <c r="J48" s="497"/>
      <c r="K48" s="498"/>
    </row>
    <row r="49" spans="1:14" ht="15">
      <c r="A49" s="491"/>
      <c r="B49" s="483"/>
      <c r="C49" s="492"/>
      <c r="D49" s="493"/>
      <c r="E49" s="494"/>
      <c r="F49" s="495"/>
      <c r="G49" s="496"/>
      <c r="H49" s="579"/>
      <c r="I49" s="580"/>
      <c r="J49" s="497"/>
      <c r="K49" s="498"/>
    </row>
    <row r="50" spans="1:14" ht="15">
      <c r="A50" s="491"/>
      <c r="B50" s="483"/>
      <c r="C50" s="492"/>
      <c r="D50" s="493"/>
      <c r="E50" s="494"/>
      <c r="F50" s="495"/>
      <c r="G50" s="496"/>
      <c r="H50" s="579"/>
      <c r="I50" s="580"/>
      <c r="J50" s="497"/>
      <c r="K50" s="498"/>
    </row>
    <row r="51" spans="1:14" ht="15">
      <c r="A51" s="491"/>
      <c r="B51" s="483"/>
      <c r="C51" s="492"/>
      <c r="D51" s="493"/>
      <c r="E51" s="494"/>
      <c r="F51" s="495"/>
      <c r="G51" s="496"/>
      <c r="H51" s="579"/>
      <c r="I51" s="580"/>
      <c r="J51" s="497"/>
      <c r="K51" s="498"/>
    </row>
    <row r="52" spans="1:14" ht="15">
      <c r="A52" s="491"/>
      <c r="B52" s="483"/>
      <c r="C52" s="492"/>
      <c r="D52" s="493"/>
      <c r="E52" s="494"/>
      <c r="F52" s="495"/>
      <c r="G52" s="496"/>
      <c r="H52" s="579"/>
      <c r="I52" s="580"/>
      <c r="J52" s="497"/>
      <c r="K52" s="498"/>
    </row>
    <row r="53" spans="1:14" ht="15">
      <c r="A53" s="491"/>
      <c r="B53" s="483"/>
      <c r="C53" s="492"/>
      <c r="D53" s="493"/>
      <c r="E53" s="494"/>
      <c r="F53" s="495"/>
      <c r="G53" s="496"/>
      <c r="H53" s="579"/>
      <c r="I53" s="580"/>
      <c r="J53" s="497"/>
      <c r="K53" s="498"/>
    </row>
    <row r="54" spans="1:14" ht="15">
      <c r="A54" s="491"/>
      <c r="B54" s="483"/>
      <c r="C54" s="492"/>
      <c r="D54" s="493"/>
      <c r="E54" s="494"/>
      <c r="F54" s="495"/>
      <c r="G54" s="496"/>
      <c r="H54" s="579"/>
      <c r="I54" s="580"/>
      <c r="J54" s="497"/>
      <c r="K54" s="498"/>
    </row>
    <row r="55" spans="1:14">
      <c r="A55" s="499"/>
      <c r="B55" s="500"/>
      <c r="C55" s="478"/>
      <c r="D55" s="501"/>
      <c r="E55" s="478"/>
      <c r="F55" s="502"/>
      <c r="G55" s="499"/>
      <c r="H55" s="500"/>
      <c r="I55" s="499"/>
      <c r="J55" s="500"/>
      <c r="K55" s="503"/>
    </row>
    <row r="56" spans="1:14" s="508" customFormat="1" ht="15" customHeight="1">
      <c r="A56" s="504"/>
      <c r="B56" s="505"/>
      <c r="C56" s="505"/>
      <c r="D56" s="506"/>
      <c r="E56" s="505"/>
      <c r="F56" s="507"/>
      <c r="G56" s="800"/>
      <c r="H56" s="802"/>
      <c r="I56" s="800"/>
      <c r="J56" s="801"/>
      <c r="K56" s="802"/>
    </row>
    <row r="57" spans="1:14" s="516" customFormat="1" ht="15" customHeight="1">
      <c r="A57" s="509" t="s">
        <v>876</v>
      </c>
      <c r="B57" s="510"/>
      <c r="C57" s="511" t="s">
        <v>877</v>
      </c>
      <c r="D57" s="512"/>
      <c r="E57" s="899"/>
      <c r="F57" s="900"/>
      <c r="G57" s="513"/>
      <c r="H57" s="478"/>
      <c r="I57" s="513"/>
      <c r="J57" s="478"/>
      <c r="K57" s="515"/>
      <c r="M57" s="466"/>
      <c r="N57" s="466"/>
    </row>
    <row r="58" spans="1:14" s="508" customFormat="1" ht="15" customHeight="1">
      <c r="A58" s="800">
        <f>SUM(G11:G54)</f>
        <v>720</v>
      </c>
      <c r="B58" s="802"/>
      <c r="C58" s="805">
        <f>SUM(J11:J54)</f>
        <v>30</v>
      </c>
      <c r="D58" s="802"/>
      <c r="E58" s="800"/>
      <c r="F58" s="802"/>
      <c r="G58" s="800"/>
      <c r="H58" s="802"/>
      <c r="I58" s="800"/>
      <c r="J58" s="801"/>
      <c r="K58" s="802"/>
    </row>
    <row r="59" spans="1:14" s="516" customFormat="1">
      <c r="A59" s="499" t="s">
        <v>878</v>
      </c>
      <c r="B59" s="503"/>
      <c r="C59" s="513" t="s">
        <v>879</v>
      </c>
      <c r="D59" s="517"/>
      <c r="E59" s="511"/>
      <c r="G59" s="513"/>
      <c r="H59" s="478"/>
      <c r="I59" s="478"/>
      <c r="J59" s="500"/>
      <c r="K59" s="503"/>
      <c r="M59" s="466"/>
      <c r="N59" s="466"/>
    </row>
    <row r="60" spans="1:14" s="508" customFormat="1" ht="15" customHeight="1">
      <c r="A60" s="897" t="e">
        <f>SUM(H11:H54)</f>
        <v>#VALUE!</v>
      </c>
      <c r="B60" s="898"/>
      <c r="C60" s="897" t="e">
        <f>SUM(I11:I54)</f>
        <v>#VALUE!</v>
      </c>
      <c r="D60" s="898"/>
      <c r="E60" s="897"/>
      <c r="F60" s="898"/>
      <c r="G60" s="518"/>
      <c r="H60" s="519"/>
      <c r="I60" s="519"/>
      <c r="J60" s="519"/>
      <c r="K60" s="520"/>
    </row>
    <row r="61" spans="1:14" ht="15.75">
      <c r="A61" s="513" t="s">
        <v>587</v>
      </c>
      <c r="B61" s="478"/>
      <c r="C61" s="478"/>
      <c r="D61" s="478"/>
      <c r="E61" s="521"/>
      <c r="F61" s="465"/>
      <c r="G61" s="522"/>
      <c r="H61" s="523"/>
      <c r="I61" s="523"/>
      <c r="J61" s="524"/>
      <c r="K61" s="525"/>
    </row>
    <row r="62" spans="1:14" ht="15.75">
      <c r="A62" s="526"/>
      <c r="B62" s="527"/>
      <c r="C62" s="519"/>
      <c r="D62" s="519"/>
      <c r="E62" s="519"/>
      <c r="F62" s="528"/>
      <c r="G62" s="522"/>
      <c r="H62" s="523"/>
      <c r="I62" s="523"/>
      <c r="J62" s="523"/>
      <c r="K62" s="525"/>
    </row>
    <row r="63" spans="1:14" ht="15.75">
      <c r="A63" s="526"/>
      <c r="B63" s="519"/>
      <c r="C63" s="519"/>
      <c r="D63" s="529"/>
      <c r="E63" s="519"/>
      <c r="F63" s="528"/>
      <c r="G63" s="522"/>
      <c r="H63" s="523"/>
      <c r="I63" s="523"/>
      <c r="J63" s="523"/>
      <c r="K63" s="525"/>
    </row>
    <row r="64" spans="1:14" ht="15.75">
      <c r="A64" s="504"/>
      <c r="B64" s="505"/>
      <c r="C64" s="505"/>
      <c r="D64" s="506"/>
      <c r="E64" s="505"/>
      <c r="F64" s="507"/>
      <c r="G64" s="530"/>
      <c r="H64" s="531"/>
      <c r="I64" s="531"/>
      <c r="J64" s="531"/>
      <c r="K64" s="532"/>
    </row>
    <row r="65" spans="1:11" ht="15">
      <c r="A65" s="483"/>
      <c r="B65" s="484" t="s">
        <v>569</v>
      </c>
      <c r="C65" s="485"/>
      <c r="D65" s="486"/>
      <c r="E65" s="487"/>
      <c r="F65" s="488"/>
      <c r="G65" s="488"/>
      <c r="H65" s="577"/>
      <c r="I65" s="578"/>
      <c r="J65" s="489"/>
      <c r="K65" s="490"/>
    </row>
    <row r="66" spans="1:11" ht="15">
      <c r="A66" s="491" t="str">
        <f t="array" ref="A66">IFERROR(INDEX(productsSku, SMALL(IF(productsFocQty&lt;&gt;0, ROW(productsFocQty)-ROW('BHPC MANAGER'!$CD$10)+1), ROW(L1))), "")</f>
        <v/>
      </c>
      <c r="B66" s="483" t="str">
        <f t="array" ref="B66">IFERROR(INDEX(productsDescription, SMALL(IF(productsFocQty&lt;&gt;0, ROW(productsFocQty)-ROW('BHPC MANAGER'!$CD$10)+1), ROW(L1))), "")</f>
        <v/>
      </c>
      <c r="C66" s="492"/>
      <c r="D66" s="493"/>
      <c r="E66" s="494"/>
      <c r="F66" s="495" t="str">
        <f t="shared" ref="F66:F81" si="1">IF(A66="","","PC")</f>
        <v/>
      </c>
      <c r="G66" s="496" t="str">
        <f t="array" ref="G66">IFERROR(INDEX(productsFocQty, SMALL(IF(productsFocQty&lt;&gt;0, ROW(productsFocQty)-ROW('BHPC MANAGER'!$CD$10)+1), ROW(L1))), "")</f>
        <v/>
      </c>
      <c r="H66" s="579" t="e">
        <f t="array" ref="H66">G66/VLOOKUP(A66,bhpc_data[],9,FALSE)*VLOOKUP(A66,bhpc_data[],17,FALSE)</f>
        <v>#VALUE!</v>
      </c>
      <c r="I66" s="580" t="e">
        <f t="array" ref="I66">G66/VLOOKUP(A66,bhpc_data[],9,FALSE)*VLOOKUP(A66,bhpc_data[],18,FALSE)</f>
        <v>#VALUE!</v>
      </c>
      <c r="J66" s="497" t="str">
        <f t="array" ref="J66">IFERROR(INDEX(productsFocCartons, SMALL(IF(productsFocQty&lt;&gt;0, ROW(productsFocQty)-ROW('BHPC MANAGER'!$CD$10)+1), ROW(L1))), "")</f>
        <v/>
      </c>
      <c r="K66" s="498" t="e">
        <f t="array" ref="K66">VLOOKUP(A66,bhpc_data[],26,FALSE)</f>
        <v>#N/A</v>
      </c>
    </row>
    <row r="67" spans="1:11" ht="15">
      <c r="A67" s="491" t="str">
        <f t="array" ref="A67">IFERROR(INDEX(productsSku, SMALL(IF(productsFocQty&lt;&gt;0, ROW(productsFocQty)-ROW('BHPC MANAGER'!$CD$10)+1), ROW(L2))), "")</f>
        <v/>
      </c>
      <c r="B67" s="483" t="str">
        <f t="array" ref="B67">IFERROR(INDEX(productsDescription, SMALL(IF(productsFocQty&lt;&gt;0, ROW(productsFocQty)-ROW('BHPC MANAGER'!$CD$10)+1), ROW(L2))), "")</f>
        <v/>
      </c>
      <c r="C67" s="492"/>
      <c r="D67" s="493"/>
      <c r="E67" s="494"/>
      <c r="F67" s="495" t="str">
        <f t="shared" si="1"/>
        <v/>
      </c>
      <c r="G67" s="496" t="str">
        <f t="array" ref="G67">IFERROR(INDEX(productsFocQty, SMALL(IF(productsFocQty&lt;&gt;0, ROW(productsFocQty)-ROW('BHPC MANAGER'!$CD$10)+1), ROW(L2))), "")</f>
        <v/>
      </c>
      <c r="H67" s="579" t="e">
        <f t="array" ref="H67">G67/VLOOKUP(A67,bhpc_data[],9,FALSE)*VLOOKUP(A67,bhpc_data[],17,FALSE)</f>
        <v>#VALUE!</v>
      </c>
      <c r="I67" s="580" t="e">
        <f t="array" ref="I67">G67/VLOOKUP(A67,bhpc_data[],9,FALSE)*VLOOKUP(A67,bhpc_data[],18,FALSE)</f>
        <v>#VALUE!</v>
      </c>
      <c r="J67" s="497" t="str">
        <f t="array" ref="J67">IFERROR(INDEX(productsFocCartons, SMALL(IF(productsFocQty&lt;&gt;0, ROW(productsFocQty)-ROW('BHPC MANAGER'!$CD$10)+1), ROW(L2))), "")</f>
        <v/>
      </c>
      <c r="K67" s="498" t="e">
        <f t="array" ref="K67">VLOOKUP(A67,bhpc_data[],26,FALSE)</f>
        <v>#N/A</v>
      </c>
    </row>
    <row r="68" spans="1:11" ht="15">
      <c r="A68" s="491" t="str">
        <f t="array" ref="A68">IFERROR(INDEX(productsSku, SMALL(IF(productsFocQty&lt;&gt;0, ROW(productsFocQty)-ROW('BHPC MANAGER'!$CD$10)+1), ROW(L3))), "")</f>
        <v/>
      </c>
      <c r="B68" s="483" t="str">
        <f t="array" ref="B68">IFERROR(INDEX(productsDescription, SMALL(IF(productsFocQty&lt;&gt;0, ROW(productsFocQty)-ROW('BHPC MANAGER'!$CD$10)+1), ROW(L3))), "")</f>
        <v/>
      </c>
      <c r="C68" s="492"/>
      <c r="D68" s="493"/>
      <c r="E68" s="494"/>
      <c r="F68" s="495" t="str">
        <f t="shared" si="1"/>
        <v/>
      </c>
      <c r="G68" s="496" t="str">
        <f t="array" ref="G68">IFERROR(INDEX(productsFocQty, SMALL(IF(productsFocQty&lt;&gt;0, ROW(productsFocQty)-ROW('BHPC MANAGER'!$CD$10)+1), ROW(L3))), "")</f>
        <v/>
      </c>
      <c r="H68" s="579" t="e">
        <f t="array" ref="H68">G68/VLOOKUP(A68,bhpc_data[],9,FALSE)*VLOOKUP(A68,bhpc_data[],17,FALSE)</f>
        <v>#VALUE!</v>
      </c>
      <c r="I68" s="580" t="e">
        <f t="array" ref="I68">G68/VLOOKUP(A68,bhpc_data[],9,FALSE)*VLOOKUP(A68,bhpc_data[],18,FALSE)</f>
        <v>#VALUE!</v>
      </c>
      <c r="J68" s="497" t="str">
        <f t="array" ref="J68">IFERROR(INDEX(productsFocCartons, SMALL(IF(productsFocQty&lt;&gt;0, ROW(productsFocQty)-ROW('BHPC MANAGER'!$CD$10)+1), ROW(L3))), "")</f>
        <v/>
      </c>
      <c r="K68" s="498" t="e">
        <f t="array" ref="K68">VLOOKUP(A68,bhpc_data[],26,FALSE)</f>
        <v>#N/A</v>
      </c>
    </row>
    <row r="69" spans="1:11" ht="15">
      <c r="A69" s="491" t="str">
        <f t="array" ref="A69">IFERROR(INDEX(productsSku, SMALL(IF(productsFocQty&lt;&gt;0, ROW(productsFocQty)-ROW('BHPC MANAGER'!$CD$10)+1), ROW(L4))), "")</f>
        <v/>
      </c>
      <c r="B69" s="483" t="str">
        <f t="array" ref="B69">IFERROR(INDEX(productsDescription, SMALL(IF(productsFocQty&lt;&gt;0, ROW(productsFocQty)-ROW('BHPC MANAGER'!$CD$10)+1), ROW(L4))), "")</f>
        <v/>
      </c>
      <c r="C69" s="492"/>
      <c r="D69" s="493"/>
      <c r="E69" s="494"/>
      <c r="F69" s="495" t="str">
        <f t="shared" si="1"/>
        <v/>
      </c>
      <c r="G69" s="496" t="str">
        <f t="array" ref="G69">IFERROR(INDEX(productsFocQty, SMALL(IF(productsFocQty&lt;&gt;0, ROW(productsFocQty)-ROW('BHPC MANAGER'!$CD$10)+1), ROW(L4))), "")</f>
        <v/>
      </c>
      <c r="H69" s="579" t="e">
        <f t="array" ref="H69">G69/VLOOKUP(A69,bhpc_data[],9,FALSE)*VLOOKUP(A69,bhpc_data[],17,FALSE)</f>
        <v>#VALUE!</v>
      </c>
      <c r="I69" s="580" t="e">
        <f t="array" ref="I69">G69/VLOOKUP(A69,bhpc_data[],9,FALSE)*VLOOKUP(A69,bhpc_data[],18,FALSE)</f>
        <v>#VALUE!</v>
      </c>
      <c r="J69" s="497" t="str">
        <f t="array" ref="J69">IFERROR(INDEX(productsFocCartons, SMALL(IF(productsFocQty&lt;&gt;0, ROW(productsFocQty)-ROW('BHPC MANAGER'!$CD$10)+1), ROW(L4))), "")</f>
        <v/>
      </c>
      <c r="K69" s="498" t="e">
        <f t="array" ref="K69">VLOOKUP(A69,bhpc_data[],26,FALSE)</f>
        <v>#N/A</v>
      </c>
    </row>
    <row r="70" spans="1:11" ht="15">
      <c r="A70" s="491" t="str">
        <f t="array" ref="A70">IFERROR(INDEX(productsSku, SMALL(IF(productsFocQty&lt;&gt;0, ROW(productsFocQty)-ROW('BHPC MANAGER'!$CD$10)+1), ROW(L5))), "")</f>
        <v/>
      </c>
      <c r="B70" s="483" t="str">
        <f t="array" ref="B70">IFERROR(INDEX(productsDescription, SMALL(IF(productsFocQty&lt;&gt;0, ROW(productsFocQty)-ROW('BHPC MANAGER'!$CD$10)+1), ROW(L5))), "")</f>
        <v/>
      </c>
      <c r="C70" s="492"/>
      <c r="D70" s="493"/>
      <c r="E70" s="494"/>
      <c r="F70" s="495" t="str">
        <f t="shared" si="1"/>
        <v/>
      </c>
      <c r="G70" s="496" t="str">
        <f t="array" ref="G70">IFERROR(INDEX(productsFocQty, SMALL(IF(productsFocQty&lt;&gt;0, ROW(productsFocQty)-ROW('BHPC MANAGER'!$CD$10)+1), ROW(L5))), "")</f>
        <v/>
      </c>
      <c r="H70" s="579" t="e">
        <f t="array" ref="H70">G70/VLOOKUP(A70,bhpc_data[],9,FALSE)*VLOOKUP(A70,bhpc_data[],17,FALSE)</f>
        <v>#VALUE!</v>
      </c>
      <c r="I70" s="580" t="e">
        <f t="array" ref="I70">G70/VLOOKUP(A70,bhpc_data[],9,FALSE)*VLOOKUP(A70,bhpc_data[],18,FALSE)</f>
        <v>#VALUE!</v>
      </c>
      <c r="J70" s="497" t="str">
        <f t="array" ref="J70">IFERROR(INDEX(productsFocCartons, SMALL(IF(productsFocQty&lt;&gt;0, ROW(productsFocQty)-ROW('BHPC MANAGER'!$CD$10)+1), ROW(L5))), "")</f>
        <v/>
      </c>
      <c r="K70" s="498" t="e">
        <f t="array" ref="K70">VLOOKUP(A70,bhpc_data[],26,FALSE)</f>
        <v>#N/A</v>
      </c>
    </row>
    <row r="71" spans="1:11" ht="15">
      <c r="A71" s="491" t="str">
        <f t="array" ref="A71">IFERROR(INDEX(productsSku, SMALL(IF(productsFocQty&lt;&gt;0, ROW(productsFocQty)-ROW('BHPC MANAGER'!$CD$10)+1), ROW(L6))), "")</f>
        <v/>
      </c>
      <c r="B71" s="483" t="str">
        <f t="array" ref="B71">IFERROR(INDEX(productsDescription, SMALL(IF(productsFocQty&lt;&gt;0, ROW(productsFocQty)-ROW('BHPC MANAGER'!$CD$10)+1), ROW(L6))), "")</f>
        <v/>
      </c>
      <c r="C71" s="492"/>
      <c r="D71" s="493"/>
      <c r="E71" s="494"/>
      <c r="F71" s="495" t="str">
        <f t="shared" si="1"/>
        <v/>
      </c>
      <c r="G71" s="496" t="str">
        <f t="array" ref="G71">IFERROR(INDEX(productsFocQty, SMALL(IF(productsFocQty&lt;&gt;0, ROW(productsFocQty)-ROW('BHPC MANAGER'!$CD$10)+1), ROW(L6))), "")</f>
        <v/>
      </c>
      <c r="H71" s="579" t="e">
        <f t="array" ref="H71">G71/VLOOKUP(A71,bhpc_data[],9,FALSE)*VLOOKUP(A71,bhpc_data[],17,FALSE)</f>
        <v>#VALUE!</v>
      </c>
      <c r="I71" s="580" t="e">
        <f t="array" ref="I71">G71/VLOOKUP(A71,bhpc_data[],9,FALSE)*VLOOKUP(A71,bhpc_data[],18,FALSE)</f>
        <v>#VALUE!</v>
      </c>
      <c r="J71" s="497" t="str">
        <f t="array" ref="J71">IFERROR(INDEX(productsFocCartons, SMALL(IF(productsFocQty&lt;&gt;0, ROW(productsFocQty)-ROW('BHPC MANAGER'!$CD$10)+1), ROW(L6))), "")</f>
        <v/>
      </c>
      <c r="K71" s="498" t="e">
        <f t="array" ref="K71">VLOOKUP(A71,bhpc_data[],26,FALSE)</f>
        <v>#N/A</v>
      </c>
    </row>
    <row r="72" spans="1:11" ht="15">
      <c r="A72" s="491" t="str">
        <f t="array" ref="A72">IFERROR(INDEX(productsSku, SMALL(IF(productsFocQty&lt;&gt;0, ROW(productsFocQty)-ROW('BHPC MANAGER'!$CD$10)+1), ROW(L7))), "")</f>
        <v/>
      </c>
      <c r="B72" s="483" t="str">
        <f t="array" ref="B72">IFERROR(INDEX(productsDescription, SMALL(IF(productsFocQty&lt;&gt;0, ROW(productsFocQty)-ROW('BHPC MANAGER'!$CD$10)+1), ROW(L7))), "")</f>
        <v/>
      </c>
      <c r="C72" s="492"/>
      <c r="D72" s="493"/>
      <c r="E72" s="494"/>
      <c r="F72" s="495" t="str">
        <f t="shared" si="1"/>
        <v/>
      </c>
      <c r="G72" s="496" t="str">
        <f t="array" ref="G72">IFERROR(INDEX(productsFocQty, SMALL(IF(productsFocQty&lt;&gt;0, ROW(productsFocQty)-ROW('BHPC MANAGER'!$CD$10)+1), ROW(L7))), "")</f>
        <v/>
      </c>
      <c r="H72" s="579" t="e">
        <f t="array" ref="H72">G72/VLOOKUP(A72,bhpc_data[],9,FALSE)*VLOOKUP(A72,bhpc_data[],17,FALSE)</f>
        <v>#VALUE!</v>
      </c>
      <c r="I72" s="580" t="e">
        <f t="array" ref="I72">G72/VLOOKUP(A72,bhpc_data[],9,FALSE)*VLOOKUP(A72,bhpc_data[],18,FALSE)</f>
        <v>#VALUE!</v>
      </c>
      <c r="J72" s="497" t="str">
        <f t="array" ref="J72">IFERROR(INDEX(productsFocCartons, SMALL(IF(productsFocQty&lt;&gt;0, ROW(productsFocQty)-ROW('BHPC MANAGER'!$CD$10)+1), ROW(L7))), "")</f>
        <v/>
      </c>
      <c r="K72" s="498" t="e">
        <f t="array" ref="K72">VLOOKUP(A72,bhpc_data[],26,FALSE)</f>
        <v>#N/A</v>
      </c>
    </row>
    <row r="73" spans="1:11" ht="15">
      <c r="A73" s="491" t="str">
        <f t="array" ref="A73">IFERROR(INDEX(productsSku, SMALL(IF(productsFocQty&lt;&gt;0, ROW(productsFocQty)-ROW('BHPC MANAGER'!$CD$10)+1), ROW(L8))), "")</f>
        <v/>
      </c>
      <c r="B73" s="483" t="str">
        <f t="array" ref="B73">IFERROR(INDEX(productsDescription, SMALL(IF(productsFocQty&lt;&gt;0, ROW(productsFocQty)-ROW('BHPC MANAGER'!$CD$10)+1), ROW(L8))), "")</f>
        <v/>
      </c>
      <c r="C73" s="492"/>
      <c r="D73" s="493"/>
      <c r="E73" s="494"/>
      <c r="F73" s="495" t="str">
        <f t="shared" si="1"/>
        <v/>
      </c>
      <c r="G73" s="496" t="str">
        <f t="array" ref="G73">IFERROR(INDEX(productsFocQty, SMALL(IF(productsFocQty&lt;&gt;0, ROW(productsFocQty)-ROW('BHPC MANAGER'!$CD$10)+1), ROW(L8))), "")</f>
        <v/>
      </c>
      <c r="H73" s="579" t="e">
        <f t="array" ref="H73">G73/VLOOKUP(A73,bhpc_data[],9,FALSE)*VLOOKUP(A73,bhpc_data[],17,FALSE)</f>
        <v>#VALUE!</v>
      </c>
      <c r="I73" s="580" t="e">
        <f t="array" ref="I73">G73/VLOOKUP(A73,bhpc_data[],9,FALSE)*VLOOKUP(A73,bhpc_data[],18,FALSE)</f>
        <v>#VALUE!</v>
      </c>
      <c r="J73" s="497" t="str">
        <f t="array" ref="J73">IFERROR(INDEX(productsFocCartons, SMALL(IF(productsFocQty&lt;&gt;0, ROW(productsFocQty)-ROW('BHPC MANAGER'!$CD$10)+1), ROW(L8))), "")</f>
        <v/>
      </c>
      <c r="K73" s="498" t="e">
        <f t="array" ref="K73">VLOOKUP(A73,bhpc_data[],26,FALSE)</f>
        <v>#N/A</v>
      </c>
    </row>
    <row r="74" spans="1:11" ht="15">
      <c r="A74" s="491" t="str">
        <f t="array" ref="A74">IFERROR(INDEX(productsSku, SMALL(IF(productsFocQty&lt;&gt;0, ROW(productsFocQty)-ROW('BHPC MANAGER'!$CD$10)+1), ROW(L9))), "")</f>
        <v/>
      </c>
      <c r="B74" s="483" t="str">
        <f t="array" ref="B74">IFERROR(INDEX(productsDescription, SMALL(IF(productsFocQty&lt;&gt;0, ROW(productsFocQty)-ROW('BHPC MANAGER'!$CD$10)+1), ROW(L9))), "")</f>
        <v/>
      </c>
      <c r="C74" s="492"/>
      <c r="D74" s="493"/>
      <c r="E74" s="494"/>
      <c r="F74" s="495" t="str">
        <f t="shared" si="1"/>
        <v/>
      </c>
      <c r="G74" s="496" t="str">
        <f t="array" ref="G74">IFERROR(INDEX(productsFocQty, SMALL(IF(productsFocQty&lt;&gt;0, ROW(productsFocQty)-ROW('BHPC MANAGER'!$CD$10)+1), ROW(L9))), "")</f>
        <v/>
      </c>
      <c r="H74" s="579" t="e">
        <f t="array" ref="H74">G74/VLOOKUP(A74,bhpc_data[],9,FALSE)*VLOOKUP(A74,bhpc_data[],17,FALSE)</f>
        <v>#VALUE!</v>
      </c>
      <c r="I74" s="580" t="e">
        <f t="array" ref="I74">G74/VLOOKUP(A74,bhpc_data[],9,FALSE)*VLOOKUP(A74,bhpc_data[],18,FALSE)</f>
        <v>#VALUE!</v>
      </c>
      <c r="J74" s="497" t="str">
        <f t="array" ref="J74">IFERROR(INDEX(productsFocCartons, SMALL(IF(productsFocQty&lt;&gt;0, ROW(productsFocQty)-ROW('BHPC MANAGER'!$CD$10)+1), ROW(L9))), "")</f>
        <v/>
      </c>
      <c r="K74" s="498" t="e">
        <f t="array" ref="K74">VLOOKUP(A74,bhpc_data[],26,FALSE)</f>
        <v>#N/A</v>
      </c>
    </row>
    <row r="75" spans="1:11" ht="15">
      <c r="A75" s="491" t="str">
        <f t="array" ref="A75">IFERROR(INDEX(productsSku, SMALL(IF(productsFocQty&lt;&gt;0, ROW(productsFocQty)-ROW('BHPC MANAGER'!$CD$10)+1), ROW(L10))), "")</f>
        <v/>
      </c>
      <c r="B75" s="483" t="str">
        <f t="array" ref="B75">IFERROR(INDEX(productsDescription, SMALL(IF(productsFocQty&lt;&gt;0, ROW(productsFocQty)-ROW('BHPC MANAGER'!$CD$10)+1), ROW(L10))), "")</f>
        <v/>
      </c>
      <c r="C75" s="492"/>
      <c r="D75" s="493"/>
      <c r="E75" s="494"/>
      <c r="F75" s="495" t="str">
        <f t="shared" si="1"/>
        <v/>
      </c>
      <c r="G75" s="496" t="str">
        <f t="array" ref="G75">IFERROR(INDEX(productsFocQty, SMALL(IF(productsFocQty&lt;&gt;0, ROW(productsFocQty)-ROW('BHPC MANAGER'!$CD$10)+1), ROW(L10))), "")</f>
        <v/>
      </c>
      <c r="H75" s="579" t="e">
        <f t="array" ref="H75">G75/VLOOKUP(A75,bhpc_data[],9,FALSE)*VLOOKUP(A75,bhpc_data[],17,FALSE)</f>
        <v>#VALUE!</v>
      </c>
      <c r="I75" s="580" t="e">
        <f t="array" ref="I75">G75/VLOOKUP(A75,bhpc_data[],9,FALSE)*VLOOKUP(A75,bhpc_data[],18,FALSE)</f>
        <v>#VALUE!</v>
      </c>
      <c r="J75" s="497" t="str">
        <f t="array" ref="J75">IFERROR(INDEX(productsFocCartons, SMALL(IF(productsFocQty&lt;&gt;0, ROW(productsFocQty)-ROW('BHPC MANAGER'!$CD$10)+1), ROW(L10))), "")</f>
        <v/>
      </c>
      <c r="K75" s="498" t="e">
        <f t="array" ref="K75">VLOOKUP(A75,bhpc_data[],26,FALSE)</f>
        <v>#N/A</v>
      </c>
    </row>
    <row r="76" spans="1:11" ht="15">
      <c r="A76" s="491" t="str">
        <f t="array" ref="A76">IFERROR(INDEX(productsSku, SMALL(IF(productsFocQty&lt;&gt;0, ROW(productsFocQty)-ROW('BHPC MANAGER'!$CD$10)+1), ROW(L11))), "")</f>
        <v/>
      </c>
      <c r="B76" s="483" t="str">
        <f t="array" ref="B76">IFERROR(INDEX(productsDescription, SMALL(IF(productsFocQty&lt;&gt;0, ROW(productsFocQty)-ROW('BHPC MANAGER'!$CD$10)+1), ROW(L11))), "")</f>
        <v/>
      </c>
      <c r="C76" s="492"/>
      <c r="D76" s="493"/>
      <c r="E76" s="494"/>
      <c r="F76" s="495" t="str">
        <f t="shared" si="1"/>
        <v/>
      </c>
      <c r="G76" s="496" t="str">
        <f t="array" ref="G76">IFERROR(INDEX(productsFocQty, SMALL(IF(productsFocQty&lt;&gt;0, ROW(productsFocQty)-ROW('BHPC MANAGER'!$CD$10)+1), ROW(L11))), "")</f>
        <v/>
      </c>
      <c r="H76" s="579" t="e">
        <f t="array" ref="H76">G76/VLOOKUP(A76,bhpc_data[],9,FALSE)*VLOOKUP(A76,bhpc_data[],17,FALSE)</f>
        <v>#VALUE!</v>
      </c>
      <c r="I76" s="580" t="e">
        <f t="array" ref="I76">G76/VLOOKUP(A76,bhpc_data[],9,FALSE)*VLOOKUP(A76,bhpc_data[],18,FALSE)</f>
        <v>#VALUE!</v>
      </c>
      <c r="J76" s="497" t="str">
        <f t="array" ref="J76">IFERROR(INDEX(productsFocCartons, SMALL(IF(productsFocQty&lt;&gt;0, ROW(productsFocQty)-ROW('BHPC MANAGER'!$CD$10)+1), ROW(L11))), "")</f>
        <v/>
      </c>
      <c r="K76" s="498" t="e">
        <f t="array" ref="K76">VLOOKUP(A76,bhpc_data[],26,FALSE)</f>
        <v>#N/A</v>
      </c>
    </row>
    <row r="77" spans="1:11" ht="15">
      <c r="A77" s="491" t="str">
        <f t="array" ref="A77">IFERROR(INDEX(productsSku, SMALL(IF(productsFocQty&lt;&gt;0, ROW(productsFocQty)-ROW('BHPC MANAGER'!$CD$10)+1), ROW(L12))), "")</f>
        <v/>
      </c>
      <c r="B77" s="483" t="str">
        <f t="array" ref="B77">IFERROR(INDEX(productsDescription, SMALL(IF(productsFocQty&lt;&gt;0, ROW(productsFocQty)-ROW('BHPC MANAGER'!$CD$10)+1), ROW(L12))), "")</f>
        <v/>
      </c>
      <c r="C77" s="492"/>
      <c r="D77" s="493"/>
      <c r="E77" s="494"/>
      <c r="F77" s="495" t="str">
        <f t="shared" si="1"/>
        <v/>
      </c>
      <c r="G77" s="496" t="str">
        <f t="array" ref="G77">IFERROR(INDEX(productsFocQty, SMALL(IF(productsFocQty&lt;&gt;0, ROW(productsFocQty)-ROW('BHPC MANAGER'!$CD$10)+1), ROW(L12))), "")</f>
        <v/>
      </c>
      <c r="H77" s="579" t="e">
        <f t="array" ref="H77">G77/VLOOKUP(A77,bhpc_data[],9,FALSE)*VLOOKUP(A77,bhpc_data[],17,FALSE)</f>
        <v>#VALUE!</v>
      </c>
      <c r="I77" s="580" t="e">
        <f t="array" ref="I77">G77/VLOOKUP(A77,bhpc_data[],9,FALSE)*VLOOKUP(A77,bhpc_data[],18,FALSE)</f>
        <v>#VALUE!</v>
      </c>
      <c r="J77" s="497" t="str">
        <f t="array" ref="J77">IFERROR(INDEX(productsFocCartons, SMALL(IF(productsFocQty&lt;&gt;0, ROW(productsFocQty)-ROW('BHPC MANAGER'!$CD$10)+1), ROW(L12))), "")</f>
        <v/>
      </c>
      <c r="K77" s="498" t="e">
        <f t="array" ref="K77">VLOOKUP(A77,bhpc_data[],26,FALSE)</f>
        <v>#N/A</v>
      </c>
    </row>
    <row r="78" spans="1:11" ht="15">
      <c r="A78" s="491" t="str">
        <f t="array" ref="A78">IFERROR(INDEX(productsSku, SMALL(IF(productsFocQty&lt;&gt;0, ROW(productsFocQty)-ROW('BHPC MANAGER'!$CD$10)+1), ROW(L13))), "")</f>
        <v/>
      </c>
      <c r="B78" s="483" t="str">
        <f t="array" ref="B78">IFERROR(INDEX(productsDescription, SMALL(IF(productsFocQty&lt;&gt;0, ROW(productsFocQty)-ROW('BHPC MANAGER'!$CD$10)+1), ROW(L13))), "")</f>
        <v/>
      </c>
      <c r="C78" s="492"/>
      <c r="D78" s="493"/>
      <c r="E78" s="494"/>
      <c r="F78" s="495" t="str">
        <f t="shared" si="1"/>
        <v/>
      </c>
      <c r="G78" s="496" t="str">
        <f t="array" ref="G78">IFERROR(INDEX(productsFocQty, SMALL(IF(productsFocQty&lt;&gt;0, ROW(productsFocQty)-ROW('BHPC MANAGER'!$CD$10)+1), ROW(L13))), "")</f>
        <v/>
      </c>
      <c r="H78" s="579" t="e">
        <f t="array" ref="H78">G78/VLOOKUP(A78,bhpc_data[],9,FALSE)*VLOOKUP(A78,bhpc_data[],17,FALSE)</f>
        <v>#VALUE!</v>
      </c>
      <c r="I78" s="580" t="e">
        <f t="array" ref="I78">G78/VLOOKUP(A78,bhpc_data[],9,FALSE)*VLOOKUP(A78,bhpc_data[],18,FALSE)</f>
        <v>#VALUE!</v>
      </c>
      <c r="J78" s="497" t="str">
        <f t="array" ref="J78">IFERROR(INDEX(productsFocCartons, SMALL(IF(productsFocQty&lt;&gt;0, ROW(productsFocQty)-ROW('BHPC MANAGER'!$CD$10)+1), ROW(L13))), "")</f>
        <v/>
      </c>
      <c r="K78" s="498" t="e">
        <f t="array" ref="K78">VLOOKUP(A78,bhpc_data[],26,FALSE)</f>
        <v>#N/A</v>
      </c>
    </row>
    <row r="79" spans="1:11" ht="15">
      <c r="A79" s="491" t="str">
        <f t="array" ref="A79">IFERROR(INDEX(productsSku, SMALL(IF(productsFocQty&lt;&gt;0, ROW(productsFocQty)-ROW('BHPC MANAGER'!$CD$10)+1), ROW(L14))), "")</f>
        <v/>
      </c>
      <c r="B79" s="483" t="str">
        <f t="array" ref="B79">IFERROR(INDEX(productsDescription, SMALL(IF(productsFocQty&lt;&gt;0, ROW(productsFocQty)-ROW('BHPC MANAGER'!$CD$10)+1), ROW(L14))), "")</f>
        <v/>
      </c>
      <c r="C79" s="492"/>
      <c r="D79" s="493"/>
      <c r="E79" s="494"/>
      <c r="F79" s="495" t="str">
        <f t="shared" si="1"/>
        <v/>
      </c>
      <c r="G79" s="496" t="str">
        <f t="array" ref="G79">IFERROR(INDEX(productsFocQty, SMALL(IF(productsFocQty&lt;&gt;0, ROW(productsFocQty)-ROW('BHPC MANAGER'!$CD$10)+1), ROW(L14))), "")</f>
        <v/>
      </c>
      <c r="H79" s="579" t="e">
        <f t="array" ref="H79">G79/VLOOKUP(A79,bhpc_data[],9,FALSE)*VLOOKUP(A79,bhpc_data[],17,FALSE)</f>
        <v>#VALUE!</v>
      </c>
      <c r="I79" s="580" t="e">
        <f t="array" ref="I79">G79/VLOOKUP(A79,bhpc_data[],9,FALSE)*VLOOKUP(A79,bhpc_data[],18,FALSE)</f>
        <v>#VALUE!</v>
      </c>
      <c r="J79" s="497" t="str">
        <f t="array" ref="J79">IFERROR(INDEX(productsFocCartons, SMALL(IF(productsFocQty&lt;&gt;0, ROW(productsFocQty)-ROW('BHPC MANAGER'!$CD$10)+1), ROW(L14))), "")</f>
        <v/>
      </c>
      <c r="K79" s="498" t="e">
        <f t="array" ref="K79">VLOOKUP(A79,bhpc_data[],26,FALSE)</f>
        <v>#N/A</v>
      </c>
    </row>
    <row r="80" spans="1:11" ht="15">
      <c r="A80" s="491" t="str">
        <f t="array" ref="A80">IFERROR(INDEX(productsSku, SMALL(IF(productsFocQty&lt;&gt;0, ROW(productsFocQty)-ROW('BHPC MANAGER'!$CD$10)+1), ROW(L15))), "")</f>
        <v/>
      </c>
      <c r="B80" s="483" t="str">
        <f t="array" ref="B80">IFERROR(INDEX(productsDescription, SMALL(IF(productsFocQty&lt;&gt;0, ROW(productsFocQty)-ROW('BHPC MANAGER'!$CD$10)+1), ROW(L15))), "")</f>
        <v/>
      </c>
      <c r="C80" s="492"/>
      <c r="D80" s="493"/>
      <c r="E80" s="494"/>
      <c r="F80" s="495" t="str">
        <f t="shared" si="1"/>
        <v/>
      </c>
      <c r="G80" s="496" t="str">
        <f t="array" ref="G80">IFERROR(INDEX(productsFocQty, SMALL(IF(productsFocQty&lt;&gt;0, ROW(productsFocQty)-ROW('BHPC MANAGER'!$CD$10)+1), ROW(L15))), "")</f>
        <v/>
      </c>
      <c r="H80" s="579" t="e">
        <f t="array" ref="H80">G80/VLOOKUP(A80,bhpc_data[],9,FALSE)*VLOOKUP(A80,bhpc_data[],17,FALSE)</f>
        <v>#VALUE!</v>
      </c>
      <c r="I80" s="580" t="e">
        <f t="array" ref="I80">G80/VLOOKUP(A80,bhpc_data[],9,FALSE)*VLOOKUP(A80,bhpc_data[],18,FALSE)</f>
        <v>#VALUE!</v>
      </c>
      <c r="J80" s="497" t="str">
        <f t="array" ref="J80">IFERROR(INDEX(productsFocCartons, SMALL(IF(productsFocQty&lt;&gt;0, ROW(productsFocQty)-ROW('BHPC MANAGER'!$CD$10)+1), ROW(L15))), "")</f>
        <v/>
      </c>
      <c r="K80" s="498" t="e">
        <f t="array" ref="K80">VLOOKUP(A80,bhpc_data[],26,FALSE)</f>
        <v>#N/A</v>
      </c>
    </row>
    <row r="81" spans="1:11" ht="15">
      <c r="A81" s="491" t="str">
        <f t="array" ref="A81">IFERROR(INDEX(productsSku, SMALL(IF(productsFocQty&lt;&gt;0, ROW(productsFocQty)-ROW('BHPC MANAGER'!$CD$10)+1), ROW(L16))), "")</f>
        <v/>
      </c>
      <c r="B81" s="483" t="str">
        <f t="array" ref="B81">IFERROR(INDEX(productsDescription, SMALL(IF(productsFocQty&lt;&gt;0, ROW(productsFocQty)-ROW('BHPC MANAGER'!$CD$10)+1), ROW(L16))), "")</f>
        <v/>
      </c>
      <c r="C81" s="492"/>
      <c r="D81" s="493"/>
      <c r="E81" s="494"/>
      <c r="F81" s="495" t="str">
        <f t="shared" si="1"/>
        <v/>
      </c>
      <c r="G81" s="496" t="str">
        <f t="array" ref="G81">IFERROR(INDEX(productsFocQty, SMALL(IF(productsFocQty&lt;&gt;0, ROW(productsFocQty)-ROW('BHPC MANAGER'!$CD$10)+1), ROW(L16))), "")</f>
        <v/>
      </c>
      <c r="H81" s="579" t="e">
        <f t="array" ref="H81">G81/VLOOKUP(A81,bhpc_data[],9,FALSE)*VLOOKUP(A81,bhpc_data[],17,FALSE)</f>
        <v>#VALUE!</v>
      </c>
      <c r="I81" s="580" t="e">
        <f t="array" ref="I81">G81/VLOOKUP(A81,bhpc_data[],9,FALSE)*VLOOKUP(A81,bhpc_data[],18,FALSE)</f>
        <v>#VALUE!</v>
      </c>
      <c r="J81" s="497" t="str">
        <f t="array" ref="J81">IFERROR(INDEX(productsFocCartons, SMALL(IF(productsFocQty&lt;&gt;0, ROW(productsFocQty)-ROW('BHPC MANAGER'!$CD$10)+1), ROW(L16))), "")</f>
        <v/>
      </c>
      <c r="K81" s="498" t="e">
        <f t="array" ref="K81">VLOOKUP(A81,bhpc_data[],26,FALSE)</f>
        <v>#N/A</v>
      </c>
    </row>
    <row r="82" spans="1:11" ht="15">
      <c r="A82" s="491"/>
      <c r="B82" s="483"/>
      <c r="C82" s="492"/>
      <c r="D82" s="493"/>
      <c r="E82" s="494"/>
      <c r="F82" s="495"/>
      <c r="G82" s="496"/>
      <c r="H82" s="579"/>
      <c r="I82" s="580"/>
      <c r="J82" s="497"/>
      <c r="K82" s="498"/>
    </row>
    <row r="83" spans="1:11" ht="15">
      <c r="A83" s="491"/>
      <c r="B83" s="483"/>
      <c r="C83" s="492"/>
      <c r="D83" s="493"/>
      <c r="E83" s="494"/>
      <c r="F83" s="495"/>
      <c r="G83" s="496"/>
      <c r="H83" s="579"/>
      <c r="I83" s="580"/>
      <c r="J83" s="497"/>
      <c r="K83" s="498"/>
    </row>
    <row r="84" spans="1:11" ht="15">
      <c r="A84" s="491"/>
      <c r="B84" s="483"/>
      <c r="C84" s="492"/>
      <c r="D84" s="493"/>
      <c r="E84" s="494"/>
      <c r="F84" s="495"/>
      <c r="G84" s="496"/>
      <c r="H84" s="579"/>
      <c r="I84" s="580"/>
      <c r="J84" s="497"/>
      <c r="K84" s="498"/>
    </row>
    <row r="85" spans="1:11" ht="15">
      <c r="A85" s="491"/>
      <c r="B85" s="483"/>
      <c r="C85" s="492"/>
      <c r="D85" s="493"/>
      <c r="E85" s="494"/>
      <c r="F85" s="495"/>
      <c r="G85" s="496"/>
      <c r="H85" s="579"/>
      <c r="I85" s="580"/>
      <c r="J85" s="497"/>
      <c r="K85" s="498"/>
    </row>
    <row r="86" spans="1:11" ht="15">
      <c r="A86" s="491"/>
      <c r="B86" s="483"/>
      <c r="C86" s="492"/>
      <c r="D86" s="493"/>
      <c r="E86" s="494"/>
      <c r="F86" s="495"/>
      <c r="G86" s="496"/>
      <c r="H86" s="579"/>
      <c r="I86" s="580"/>
      <c r="J86" s="497"/>
      <c r="K86" s="498"/>
    </row>
    <row r="87" spans="1:11" ht="15">
      <c r="A87" s="491"/>
      <c r="B87" s="483"/>
      <c r="C87" s="492"/>
      <c r="D87" s="493"/>
      <c r="E87" s="494"/>
      <c r="F87" s="495"/>
      <c r="G87" s="496"/>
      <c r="H87" s="579"/>
      <c r="I87" s="580"/>
      <c r="J87" s="497"/>
      <c r="K87" s="498"/>
    </row>
    <row r="88" spans="1:11" ht="15">
      <c r="A88" s="491"/>
      <c r="B88" s="483"/>
      <c r="C88" s="492"/>
      <c r="D88" s="493"/>
      <c r="E88" s="494"/>
      <c r="F88" s="495"/>
      <c r="G88" s="496"/>
      <c r="H88" s="579"/>
      <c r="I88" s="580"/>
      <c r="J88" s="497"/>
      <c r="K88" s="498"/>
    </row>
    <row r="89" spans="1:11" ht="15">
      <c r="A89" s="491"/>
      <c r="B89" s="483"/>
      <c r="C89" s="492"/>
      <c r="D89" s="493"/>
      <c r="E89" s="494"/>
      <c r="F89" s="495"/>
      <c r="G89" s="496"/>
      <c r="H89" s="579"/>
      <c r="I89" s="580"/>
      <c r="J89" s="497"/>
      <c r="K89" s="498"/>
    </row>
    <row r="90" spans="1:11" ht="15">
      <c r="A90" s="491"/>
      <c r="B90" s="483"/>
      <c r="C90" s="492"/>
      <c r="D90" s="493"/>
      <c r="E90" s="494"/>
      <c r="F90" s="495"/>
      <c r="G90" s="496"/>
      <c r="H90" s="579"/>
      <c r="I90" s="580"/>
      <c r="J90" s="497"/>
      <c r="K90" s="498"/>
    </row>
    <row r="91" spans="1:11" ht="15">
      <c r="A91" s="491"/>
      <c r="B91" s="483"/>
      <c r="C91" s="492"/>
      <c r="D91" s="493"/>
      <c r="E91" s="494"/>
      <c r="F91" s="495"/>
      <c r="G91" s="496"/>
      <c r="H91" s="579"/>
      <c r="I91" s="580"/>
      <c r="J91" s="497"/>
      <c r="K91" s="498"/>
    </row>
    <row r="92" spans="1:11" ht="15">
      <c r="A92" s="491"/>
      <c r="B92" s="483"/>
      <c r="C92" s="492"/>
      <c r="D92" s="493"/>
      <c r="E92" s="494"/>
      <c r="F92" s="495"/>
      <c r="G92" s="496"/>
      <c r="H92" s="579"/>
      <c r="I92" s="580"/>
      <c r="J92" s="497"/>
      <c r="K92" s="498"/>
    </row>
    <row r="93" spans="1:11" ht="15">
      <c r="A93" s="491"/>
      <c r="B93" s="483"/>
      <c r="C93" s="492"/>
      <c r="D93" s="493"/>
      <c r="E93" s="494"/>
      <c r="F93" s="495"/>
      <c r="G93" s="496"/>
      <c r="H93" s="579"/>
      <c r="I93" s="580"/>
      <c r="J93" s="497"/>
      <c r="K93" s="498"/>
    </row>
    <row r="94" spans="1:11" ht="15">
      <c r="A94" s="491"/>
      <c r="B94" s="483"/>
      <c r="C94" s="492"/>
      <c r="D94" s="493"/>
      <c r="E94" s="494"/>
      <c r="F94" s="495"/>
      <c r="G94" s="496"/>
      <c r="H94" s="579"/>
      <c r="I94" s="580"/>
      <c r="J94" s="497"/>
      <c r="K94" s="498"/>
    </row>
    <row r="95" spans="1:11" ht="15">
      <c r="A95" s="491"/>
      <c r="B95" s="483"/>
      <c r="C95" s="492"/>
      <c r="D95" s="493"/>
      <c r="E95" s="494"/>
      <c r="F95" s="495"/>
      <c r="G95" s="496"/>
      <c r="H95" s="579"/>
      <c r="I95" s="580"/>
      <c r="J95" s="497"/>
      <c r="K95" s="498"/>
    </row>
    <row r="96" spans="1:11" ht="15">
      <c r="A96" s="491"/>
      <c r="B96" s="483"/>
      <c r="C96" s="492"/>
      <c r="D96" s="493"/>
      <c r="E96" s="494"/>
      <c r="F96" s="495"/>
      <c r="G96" s="496"/>
      <c r="H96" s="579"/>
      <c r="I96" s="580"/>
      <c r="J96" s="497"/>
      <c r="K96" s="498"/>
    </row>
    <row r="97" spans="1:11" ht="15">
      <c r="A97" s="491"/>
      <c r="B97" s="483"/>
      <c r="C97" s="492"/>
      <c r="D97" s="493"/>
      <c r="E97" s="494"/>
      <c r="F97" s="495"/>
      <c r="G97" s="496"/>
      <c r="H97" s="579"/>
      <c r="I97" s="580"/>
      <c r="J97" s="497"/>
      <c r="K97" s="498"/>
    </row>
    <row r="98" spans="1:11" ht="15">
      <c r="A98" s="491"/>
      <c r="B98" s="483"/>
      <c r="C98" s="492"/>
      <c r="D98" s="493"/>
      <c r="E98" s="494"/>
      <c r="F98" s="495"/>
      <c r="G98" s="496"/>
      <c r="H98" s="579"/>
      <c r="I98" s="580"/>
      <c r="J98" s="497"/>
      <c r="K98" s="498"/>
    </row>
    <row r="99" spans="1:11" ht="15">
      <c r="A99" s="491"/>
      <c r="B99" s="483"/>
      <c r="C99" s="492"/>
      <c r="D99" s="493"/>
      <c r="E99" s="494"/>
      <c r="F99" s="495"/>
      <c r="G99" s="496"/>
      <c r="H99" s="579"/>
      <c r="I99" s="580"/>
      <c r="J99" s="497"/>
      <c r="K99" s="498"/>
    </row>
    <row r="100" spans="1:11" ht="15">
      <c r="A100" s="491"/>
      <c r="B100" s="483"/>
      <c r="C100" s="492"/>
      <c r="D100" s="493"/>
      <c r="E100" s="494"/>
      <c r="F100" s="495"/>
      <c r="G100" s="496"/>
      <c r="H100" s="579"/>
      <c r="I100" s="580"/>
      <c r="J100" s="497"/>
      <c r="K100" s="498"/>
    </row>
    <row r="101" spans="1:11" ht="15">
      <c r="A101" s="491"/>
      <c r="B101" s="483"/>
      <c r="C101" s="492"/>
      <c r="D101" s="493"/>
      <c r="E101" s="494"/>
      <c r="F101" s="495"/>
      <c r="G101" s="496"/>
      <c r="H101" s="579"/>
      <c r="I101" s="580"/>
      <c r="J101" s="497"/>
      <c r="K101" s="498"/>
    </row>
    <row r="102" spans="1:11" ht="15">
      <c r="A102" s="491"/>
      <c r="B102" s="483"/>
      <c r="C102" s="492"/>
      <c r="D102" s="493"/>
      <c r="E102" s="494"/>
      <c r="F102" s="495"/>
      <c r="G102" s="496"/>
      <c r="H102" s="579"/>
      <c r="I102" s="580"/>
      <c r="J102" s="497"/>
      <c r="K102" s="498"/>
    </row>
    <row r="103" spans="1:11" ht="15">
      <c r="A103" s="491"/>
      <c r="B103" s="483"/>
      <c r="C103" s="492"/>
      <c r="D103" s="493"/>
      <c r="E103" s="494"/>
      <c r="F103" s="495"/>
      <c r="G103" s="496"/>
      <c r="H103" s="579"/>
      <c r="I103" s="580"/>
      <c r="J103" s="497"/>
      <c r="K103" s="498"/>
    </row>
    <row r="104" spans="1:11" ht="15">
      <c r="A104" s="491"/>
      <c r="B104" s="483"/>
      <c r="C104" s="492"/>
      <c r="D104" s="493"/>
      <c r="E104" s="494"/>
      <c r="F104" s="495"/>
      <c r="G104" s="496"/>
      <c r="H104" s="579"/>
      <c r="I104" s="580"/>
      <c r="J104" s="497"/>
      <c r="K104" s="498"/>
    </row>
    <row r="105" spans="1:11" ht="15">
      <c r="A105" s="491"/>
      <c r="B105" s="483"/>
      <c r="C105" s="492"/>
      <c r="D105" s="493"/>
      <c r="E105" s="494"/>
      <c r="F105" s="495"/>
      <c r="G105" s="496"/>
      <c r="H105" s="579"/>
      <c r="I105" s="580"/>
      <c r="J105" s="497"/>
      <c r="K105" s="498"/>
    </row>
    <row r="106" spans="1:11" ht="15">
      <c r="A106" s="491"/>
      <c r="B106" s="483"/>
      <c r="C106" s="492"/>
      <c r="D106" s="493"/>
      <c r="E106" s="494"/>
      <c r="F106" s="495"/>
      <c r="G106" s="496"/>
      <c r="H106" s="579"/>
      <c r="I106" s="580"/>
      <c r="J106" s="497"/>
      <c r="K106" s="498"/>
    </row>
    <row r="107" spans="1:11" ht="15">
      <c r="A107" s="491"/>
      <c r="B107" s="483"/>
      <c r="C107" s="492"/>
      <c r="D107" s="493"/>
      <c r="E107" s="494"/>
      <c r="F107" s="495"/>
      <c r="G107" s="496"/>
      <c r="H107" s="579"/>
      <c r="I107" s="580"/>
      <c r="J107" s="497"/>
      <c r="K107" s="498"/>
    </row>
    <row r="108" spans="1:11" ht="15">
      <c r="A108" s="491"/>
      <c r="B108" s="483"/>
      <c r="C108" s="492"/>
      <c r="D108" s="493"/>
      <c r="E108" s="494"/>
      <c r="F108" s="495"/>
      <c r="G108" s="496"/>
      <c r="H108" s="579"/>
      <c r="I108" s="580"/>
      <c r="J108" s="497"/>
      <c r="K108" s="498"/>
    </row>
    <row r="109" spans="1:11">
      <c r="A109" s="499"/>
      <c r="B109" s="500"/>
      <c r="C109" s="478"/>
      <c r="D109" s="501"/>
      <c r="E109" s="478"/>
      <c r="F109" s="502"/>
      <c r="G109" s="499" t="s">
        <v>576</v>
      </c>
      <c r="H109" s="500"/>
      <c r="I109" s="499" t="s">
        <v>577</v>
      </c>
      <c r="J109" s="500"/>
      <c r="K109" s="503"/>
    </row>
    <row r="110" spans="1:11">
      <c r="A110" s="504"/>
      <c r="B110" s="505"/>
      <c r="C110" s="505"/>
      <c r="D110" s="506"/>
      <c r="E110" s="505"/>
      <c r="F110" s="507"/>
      <c r="G110" s="800"/>
      <c r="H110" s="802"/>
      <c r="I110" s="800"/>
      <c r="J110" s="801"/>
      <c r="K110" s="802"/>
    </row>
    <row r="111" spans="1:11">
      <c r="A111" s="509" t="s">
        <v>578</v>
      </c>
      <c r="B111" s="510"/>
      <c r="C111" s="511" t="s">
        <v>579</v>
      </c>
      <c r="D111" s="512"/>
      <c r="E111" s="513" t="s">
        <v>580</v>
      </c>
      <c r="F111" s="514"/>
      <c r="G111" s="513" t="s">
        <v>581</v>
      </c>
      <c r="H111" s="478"/>
      <c r="I111" s="513" t="s">
        <v>582</v>
      </c>
      <c r="J111" s="478"/>
      <c r="K111" s="515"/>
    </row>
    <row r="112" spans="1:11">
      <c r="A112" s="800">
        <f>A58+SUM($G$65:$G$108)</f>
        <v>720</v>
      </c>
      <c r="B112" s="802"/>
      <c r="C112" s="805">
        <f>C58+SUM($J$65:$J$108)</f>
        <v>30</v>
      </c>
      <c r="D112" s="802"/>
      <c r="E112" s="800">
        <v>2</v>
      </c>
      <c r="F112" s="802"/>
      <c r="G112" s="800" t="s">
        <v>914</v>
      </c>
      <c r="H112" s="802"/>
      <c r="I112" s="800"/>
      <c r="J112" s="801"/>
      <c r="K112" s="802"/>
    </row>
    <row r="113" spans="1:11">
      <c r="A113" s="499" t="s">
        <v>583</v>
      </c>
      <c r="B113" s="503"/>
      <c r="C113" s="513" t="s">
        <v>584</v>
      </c>
      <c r="D113" s="517"/>
      <c r="E113" s="511" t="s">
        <v>585</v>
      </c>
      <c r="F113" s="516"/>
      <c r="G113" s="513" t="s">
        <v>586</v>
      </c>
      <c r="H113" s="478"/>
      <c r="I113" s="478"/>
      <c r="J113" s="500"/>
      <c r="K113" s="503"/>
    </row>
    <row r="114" spans="1:11">
      <c r="A114" s="803" t="e">
        <f>A60+SUM(H$65:$H108)</f>
        <v>#VALUE!</v>
      </c>
      <c r="B114" s="804"/>
      <c r="C114" s="803" t="e">
        <f>C60+SUM($I$65:$I$108)</f>
        <v>#VALUE!</v>
      </c>
      <c r="D114" s="804"/>
      <c r="E114" s="803">
        <v>889</v>
      </c>
      <c r="F114" s="804"/>
      <c r="G114" s="518"/>
      <c r="H114" s="519"/>
      <c r="I114" s="519"/>
      <c r="J114" s="519"/>
      <c r="K114" s="520"/>
    </row>
    <row r="115" spans="1:11" ht="15.75">
      <c r="A115" s="513" t="s">
        <v>587</v>
      </c>
      <c r="B115" s="478"/>
      <c r="C115" s="478"/>
      <c r="D115" s="478"/>
      <c r="E115" s="521"/>
      <c r="F115" s="465"/>
      <c r="G115" s="522"/>
      <c r="H115" s="523"/>
      <c r="I115" s="523"/>
      <c r="J115" s="524"/>
      <c r="K115" s="525"/>
    </row>
    <row r="116" spans="1:11" ht="15.75">
      <c r="A116" s="526"/>
      <c r="B116" s="527"/>
      <c r="C116" s="519"/>
      <c r="D116" s="519"/>
      <c r="E116" s="519"/>
      <c r="F116" s="528"/>
      <c r="G116" s="522"/>
      <c r="H116" s="523"/>
      <c r="I116" s="523"/>
      <c r="J116" s="523"/>
      <c r="K116" s="525"/>
    </row>
    <row r="117" spans="1:11" ht="15.75">
      <c r="A117" s="526"/>
      <c r="B117" s="519"/>
      <c r="C117" s="519"/>
      <c r="D117" s="529"/>
      <c r="E117" s="519"/>
      <c r="F117" s="528"/>
      <c r="G117" s="522"/>
      <c r="H117" s="523"/>
      <c r="I117" s="523"/>
      <c r="J117" s="523"/>
      <c r="K117" s="525"/>
    </row>
    <row r="118" spans="1:11" ht="15.75">
      <c r="A118" s="504"/>
      <c r="B118" s="505"/>
      <c r="C118" s="505"/>
      <c r="D118" s="506"/>
      <c r="E118" s="505"/>
      <c r="F118" s="507"/>
      <c r="G118" s="530"/>
      <c r="H118" s="531"/>
      <c r="I118" s="531"/>
      <c r="J118" s="531"/>
      <c r="K118" s="532"/>
    </row>
  </sheetData>
  <mergeCells count="33">
    <mergeCell ref="B10:E10"/>
    <mergeCell ref="A1:B1"/>
    <mergeCell ref="H1:J1"/>
    <mergeCell ref="A8:B8"/>
    <mergeCell ref="C8:D8"/>
    <mergeCell ref="G8:I8"/>
    <mergeCell ref="J8:K8"/>
    <mergeCell ref="A9:B9"/>
    <mergeCell ref="C9:D9"/>
    <mergeCell ref="E9:F9"/>
    <mergeCell ref="G9:I9"/>
    <mergeCell ref="J9:K9"/>
    <mergeCell ref="G56:H56"/>
    <mergeCell ref="I56:K56"/>
    <mergeCell ref="A58:B58"/>
    <mergeCell ref="C58:D58"/>
    <mergeCell ref="E58:F58"/>
    <mergeCell ref="G58:H58"/>
    <mergeCell ref="I58:K58"/>
    <mergeCell ref="E57:F57"/>
    <mergeCell ref="G110:H110"/>
    <mergeCell ref="I110:K110"/>
    <mergeCell ref="A112:B112"/>
    <mergeCell ref="C112:D112"/>
    <mergeCell ref="E112:F112"/>
    <mergeCell ref="G112:H112"/>
    <mergeCell ref="I112:K112"/>
    <mergeCell ref="A114:B114"/>
    <mergeCell ref="C114:D114"/>
    <mergeCell ref="E114:F114"/>
    <mergeCell ref="A60:B60"/>
    <mergeCell ref="C60:D60"/>
    <mergeCell ref="E60:F60"/>
  </mergeCells>
  <dataValidations count="2">
    <dataValidation type="list" allowBlank="1" showInputMessage="1" showErrorMessage="1" sqref="E9:F9">
      <formula1>"GROUND,SEA,AIR"</formula1>
    </dataValidation>
    <dataValidation type="list" allowBlank="1" showInputMessage="1" showErrorMessage="1" sqref="G58:H58">
      <formula1>"80x120,100x120"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Foglio17">
    <pageSetUpPr fitToPage="1"/>
  </sheetPr>
  <dimension ref="A1:K71"/>
  <sheetViews>
    <sheetView topLeftCell="A19" workbookViewId="0">
      <selection activeCell="B32" sqref="B32:I32"/>
    </sheetView>
  </sheetViews>
  <sheetFormatPr defaultColWidth="9.140625" defaultRowHeight="15"/>
  <cols>
    <col min="1" max="1" width="8.28515625" style="25" customWidth="1"/>
    <col min="2" max="2" width="30.5703125" style="25" customWidth="1"/>
    <col min="3" max="3" width="20.5703125" style="25" customWidth="1"/>
    <col min="4" max="4" width="10.5703125" style="25" customWidth="1"/>
    <col min="5" max="6" width="8.85546875" style="25" customWidth="1"/>
    <col min="7" max="7" width="15.85546875" style="25" customWidth="1"/>
    <col min="8" max="9" width="16.7109375" style="25" customWidth="1"/>
    <col min="10" max="10" width="5.7109375" style="25" customWidth="1"/>
    <col min="11" max="16384" width="9.140625" style="25"/>
  </cols>
  <sheetData>
    <row r="1" spans="1:11" ht="20.25">
      <c r="A1" s="23"/>
      <c r="B1" s="24"/>
      <c r="C1" s="24"/>
      <c r="D1" s="24"/>
      <c r="E1" s="881" t="s">
        <v>588</v>
      </c>
      <c r="F1" s="882"/>
      <c r="G1" s="882"/>
      <c r="H1" s="882"/>
      <c r="I1" s="882"/>
      <c r="J1" s="24"/>
      <c r="K1" s="24"/>
    </row>
    <row r="2" spans="1:11" ht="12.75" customHeight="1">
      <c r="A2" s="23"/>
      <c r="B2" s="24" t="s">
        <v>589</v>
      </c>
      <c r="C2" s="24"/>
      <c r="D2" s="24"/>
      <c r="E2" s="26"/>
      <c r="F2" s="27"/>
      <c r="G2" s="27"/>
      <c r="H2" s="27"/>
      <c r="I2" s="27"/>
      <c r="J2" s="24"/>
      <c r="K2" s="24"/>
    </row>
    <row r="3" spans="1:11" ht="12.75" customHeight="1">
      <c r="A3" s="23"/>
      <c r="B3" s="812" t="s">
        <v>590</v>
      </c>
      <c r="C3" s="814"/>
      <c r="D3" s="813"/>
      <c r="E3" s="812" t="s">
        <v>591</v>
      </c>
      <c r="F3" s="814"/>
      <c r="G3" s="814"/>
      <c r="H3" s="814"/>
      <c r="I3" s="813"/>
      <c r="J3" s="883" t="s">
        <v>592</v>
      </c>
      <c r="K3" s="24"/>
    </row>
    <row r="4" spans="1:11" ht="20.25">
      <c r="A4" s="23"/>
      <c r="B4" s="28" t="s">
        <v>593</v>
      </c>
      <c r="C4" s="29"/>
      <c r="D4" s="30"/>
      <c r="E4" s="858"/>
      <c r="F4" s="859"/>
      <c r="G4" s="859"/>
      <c r="H4" s="859"/>
      <c r="I4" s="860"/>
      <c r="J4" s="883"/>
      <c r="K4" s="24"/>
    </row>
    <row r="5" spans="1:11" ht="20.25">
      <c r="A5" s="23"/>
      <c r="B5" s="28" t="s">
        <v>594</v>
      </c>
      <c r="C5" s="29"/>
      <c r="D5" s="30"/>
      <c r="E5" s="886" t="s">
        <v>595</v>
      </c>
      <c r="F5" s="814"/>
      <c r="G5" s="813"/>
      <c r="H5" s="337" t="s">
        <v>596</v>
      </c>
      <c r="I5" s="336"/>
      <c r="J5" s="883"/>
      <c r="K5" s="24"/>
    </row>
    <row r="6" spans="1:11" ht="20.25">
      <c r="A6" s="23"/>
      <c r="B6" s="28" t="s">
        <v>597</v>
      </c>
      <c r="C6" s="29"/>
      <c r="D6" s="30"/>
      <c r="E6" s="341" t="s">
        <v>598</v>
      </c>
      <c r="F6" s="34">
        <v>1</v>
      </c>
      <c r="G6" s="343" t="s">
        <v>599</v>
      </c>
      <c r="H6" s="826"/>
      <c r="I6" s="822"/>
      <c r="J6" s="883"/>
      <c r="K6" s="24"/>
    </row>
    <row r="7" spans="1:11" ht="20.25">
      <c r="A7" s="23"/>
      <c r="B7" s="28" t="s">
        <v>311</v>
      </c>
      <c r="C7" s="29"/>
      <c r="D7" s="30"/>
      <c r="E7" s="812" t="s">
        <v>600</v>
      </c>
      <c r="F7" s="814"/>
      <c r="G7" s="813"/>
      <c r="H7" s="337" t="s">
        <v>601</v>
      </c>
      <c r="I7" s="336"/>
      <c r="J7" s="883"/>
      <c r="K7" s="24"/>
    </row>
    <row r="8" spans="1:11">
      <c r="A8" s="23"/>
      <c r="B8" s="812" t="s">
        <v>602</v>
      </c>
      <c r="C8" s="814"/>
      <c r="D8" s="813"/>
      <c r="E8" s="812" t="s">
        <v>603</v>
      </c>
      <c r="F8" s="814"/>
      <c r="G8" s="814"/>
      <c r="H8" s="814"/>
      <c r="I8" s="813"/>
      <c r="J8" s="883"/>
      <c r="K8" s="24"/>
    </row>
    <row r="9" spans="1:11" ht="20.25">
      <c r="A9" s="23"/>
      <c r="B9" s="364" t="s">
        <v>330</v>
      </c>
      <c r="C9" s="29"/>
      <c r="D9" s="30"/>
      <c r="E9" s="855"/>
      <c r="F9" s="856"/>
      <c r="G9" s="856"/>
      <c r="H9" s="856"/>
      <c r="I9" s="857"/>
      <c r="J9" s="883"/>
      <c r="K9" s="24"/>
    </row>
    <row r="10" spans="1:11" ht="20.25">
      <c r="A10" s="23"/>
      <c r="B10" s="364" t="s">
        <v>331</v>
      </c>
      <c r="C10" s="29"/>
      <c r="D10" s="30"/>
      <c r="E10" s="855"/>
      <c r="F10" s="856"/>
      <c r="G10" s="856"/>
      <c r="H10" s="856"/>
      <c r="I10" s="857"/>
      <c r="J10" s="883"/>
      <c r="K10" s="24"/>
    </row>
    <row r="11" spans="1:11" ht="20.25">
      <c r="A11" s="23"/>
      <c r="B11" s="364" t="s">
        <v>332</v>
      </c>
      <c r="C11" s="29"/>
      <c r="D11" s="30"/>
      <c r="E11" s="855"/>
      <c r="F11" s="856"/>
      <c r="G11" s="856"/>
      <c r="H11" s="856"/>
      <c r="I11" s="857"/>
      <c r="J11" s="883"/>
      <c r="K11" s="24"/>
    </row>
    <row r="12" spans="1:11" ht="20.25">
      <c r="A12" s="23"/>
      <c r="B12" s="364" t="s">
        <v>333</v>
      </c>
      <c r="C12" s="29"/>
      <c r="D12" s="30"/>
      <c r="E12" s="855"/>
      <c r="F12" s="856"/>
      <c r="G12" s="856"/>
      <c r="H12" s="856"/>
      <c r="I12" s="857"/>
      <c r="J12" s="883"/>
      <c r="K12" s="24"/>
    </row>
    <row r="13" spans="1:11" ht="20.25">
      <c r="A13" s="23"/>
      <c r="B13" s="364" t="s">
        <v>772</v>
      </c>
      <c r="C13" s="29"/>
      <c r="D13" s="30"/>
      <c r="E13" s="852" t="s">
        <v>604</v>
      </c>
      <c r="F13" s="853"/>
      <c r="G13" s="853"/>
      <c r="H13" s="853"/>
      <c r="I13" s="890"/>
      <c r="J13" s="883"/>
      <c r="K13" s="24"/>
    </row>
    <row r="14" spans="1:11">
      <c r="A14" s="23"/>
      <c r="B14" s="812" t="s">
        <v>605</v>
      </c>
      <c r="C14" s="814"/>
      <c r="D14" s="813"/>
      <c r="E14" s="887" t="s">
        <v>606</v>
      </c>
      <c r="F14" s="888"/>
      <c r="G14" s="888"/>
      <c r="H14" s="888"/>
      <c r="I14" s="889"/>
      <c r="J14" s="883"/>
      <c r="K14" s="24"/>
    </row>
    <row r="15" spans="1:11">
      <c r="A15" s="23"/>
      <c r="B15" s="855"/>
      <c r="C15" s="856"/>
      <c r="D15" s="857"/>
      <c r="E15" s="891" t="s">
        <v>607</v>
      </c>
      <c r="F15" s="892"/>
      <c r="G15" s="892"/>
      <c r="H15" s="892"/>
      <c r="I15" s="893"/>
      <c r="J15" s="883"/>
      <c r="K15" s="24"/>
    </row>
    <row r="16" spans="1:11">
      <c r="A16" s="23"/>
      <c r="B16" s="855"/>
      <c r="C16" s="856"/>
      <c r="D16" s="857"/>
      <c r="E16" s="891"/>
      <c r="F16" s="892"/>
      <c r="G16" s="892"/>
      <c r="H16" s="892"/>
      <c r="I16" s="893"/>
      <c r="J16" s="883"/>
      <c r="K16" s="24"/>
    </row>
    <row r="17" spans="1:11">
      <c r="A17" s="23"/>
      <c r="B17" s="855"/>
      <c r="C17" s="856"/>
      <c r="D17" s="857"/>
      <c r="E17" s="891"/>
      <c r="F17" s="892"/>
      <c r="G17" s="892"/>
      <c r="H17" s="892"/>
      <c r="I17" s="893"/>
      <c r="J17" s="883"/>
      <c r="K17" s="24"/>
    </row>
    <row r="18" spans="1:11">
      <c r="A18" s="23"/>
      <c r="B18" s="858"/>
      <c r="C18" s="859"/>
      <c r="D18" s="860"/>
      <c r="E18" s="894"/>
      <c r="F18" s="895"/>
      <c r="G18" s="895"/>
      <c r="H18" s="895"/>
      <c r="I18" s="896"/>
      <c r="J18" s="883"/>
      <c r="K18" s="24"/>
    </row>
    <row r="19" spans="1:11">
      <c r="A19" s="864" t="s">
        <v>608</v>
      </c>
      <c r="B19" s="812" t="s">
        <v>609</v>
      </c>
      <c r="C19" s="814"/>
      <c r="D19" s="813"/>
      <c r="E19" s="866" t="s">
        <v>610</v>
      </c>
      <c r="F19" s="867"/>
      <c r="G19" s="867"/>
      <c r="H19" s="867"/>
      <c r="I19" s="868"/>
      <c r="J19" s="883"/>
      <c r="K19" s="24"/>
    </row>
    <row r="20" spans="1:11">
      <c r="A20" s="865"/>
      <c r="B20" s="855"/>
      <c r="C20" s="856"/>
      <c r="D20" s="857"/>
      <c r="E20" s="855"/>
      <c r="F20" s="856"/>
      <c r="G20" s="856"/>
      <c r="H20" s="856"/>
      <c r="I20" s="857"/>
      <c r="J20" s="883"/>
      <c r="K20" s="24"/>
    </row>
    <row r="21" spans="1:11" ht="15.75">
      <c r="A21" s="865"/>
      <c r="B21" s="855"/>
      <c r="C21" s="856"/>
      <c r="D21" s="857"/>
      <c r="E21" s="869" t="s">
        <v>611</v>
      </c>
      <c r="F21" s="870"/>
      <c r="G21" s="870"/>
      <c r="H21" s="870"/>
      <c r="I21" s="871"/>
      <c r="J21" s="883"/>
      <c r="K21" s="24"/>
    </row>
    <row r="22" spans="1:11">
      <c r="A22" s="865"/>
      <c r="B22" s="858"/>
      <c r="C22" s="859"/>
      <c r="D22" s="860"/>
      <c r="E22" s="855"/>
      <c r="F22" s="856"/>
      <c r="G22" s="856"/>
      <c r="H22" s="856"/>
      <c r="I22" s="857"/>
      <c r="J22" s="883"/>
      <c r="K22" s="24"/>
    </row>
    <row r="23" spans="1:11" ht="12.75" customHeight="1">
      <c r="A23" s="865"/>
      <c r="B23" s="36" t="s">
        <v>612</v>
      </c>
      <c r="C23" s="812" t="s">
        <v>613</v>
      </c>
      <c r="D23" s="813"/>
      <c r="E23" s="855"/>
      <c r="F23" s="856"/>
      <c r="G23" s="856"/>
      <c r="H23" s="856"/>
      <c r="I23" s="857"/>
      <c r="J23" s="883"/>
      <c r="K23" s="24"/>
    </row>
    <row r="24" spans="1:11">
      <c r="A24" s="865"/>
      <c r="B24" s="37"/>
      <c r="C24" s="877" t="str">
        <f>dgnModel!C24</f>
        <v>VENTIMIGLIA - ITALY</v>
      </c>
      <c r="D24" s="878"/>
      <c r="E24" s="855"/>
      <c r="F24" s="856"/>
      <c r="G24" s="856"/>
      <c r="H24" s="879" t="s">
        <v>615</v>
      </c>
      <c r="I24" s="880"/>
      <c r="J24" s="883"/>
      <c r="K24" s="24"/>
    </row>
    <row r="25" spans="1:11">
      <c r="A25" s="865"/>
      <c r="B25" s="36" t="s">
        <v>616</v>
      </c>
      <c r="C25" s="812" t="s">
        <v>617</v>
      </c>
      <c r="D25" s="813"/>
      <c r="E25" s="861" t="s">
        <v>618</v>
      </c>
      <c r="F25" s="862"/>
      <c r="G25" s="862"/>
      <c r="H25" s="862"/>
      <c r="I25" s="863"/>
      <c r="J25" s="883"/>
      <c r="K25" s="24"/>
    </row>
    <row r="26" spans="1:11" ht="20.25" customHeight="1">
      <c r="A26" s="865"/>
      <c r="B26" s="37">
        <v>0</v>
      </c>
      <c r="C26" s="877">
        <v>0</v>
      </c>
      <c r="D26" s="878"/>
      <c r="E26" s="852" t="s">
        <v>619</v>
      </c>
      <c r="F26" s="853"/>
      <c r="G26" s="342" t="s">
        <v>620</v>
      </c>
      <c r="H26" s="342" t="s">
        <v>621</v>
      </c>
      <c r="I26" s="343" t="s">
        <v>622</v>
      </c>
      <c r="J26" s="883"/>
      <c r="K26" s="24"/>
    </row>
    <row r="27" spans="1:11" ht="12.75" customHeight="1">
      <c r="A27" s="865"/>
      <c r="B27" s="39" t="s">
        <v>623</v>
      </c>
      <c r="C27" s="854" t="s">
        <v>624</v>
      </c>
      <c r="D27" s="854"/>
      <c r="E27" s="854"/>
      <c r="F27" s="854"/>
      <c r="G27" s="40" t="s">
        <v>625</v>
      </c>
      <c r="H27" s="40" t="s">
        <v>626</v>
      </c>
      <c r="I27" s="41" t="s">
        <v>627</v>
      </c>
      <c r="J27" s="883"/>
      <c r="K27" s="24"/>
    </row>
    <row r="28" spans="1:11">
      <c r="A28" s="865"/>
      <c r="B28" s="42"/>
      <c r="C28" s="43"/>
      <c r="D28" s="43"/>
      <c r="E28" s="43"/>
      <c r="F28" s="44"/>
      <c r="G28" s="45"/>
      <c r="H28" s="45"/>
      <c r="I28" s="46"/>
      <c r="J28" s="883"/>
      <c r="K28" s="24"/>
    </row>
    <row r="29" spans="1:11" ht="15.75">
      <c r="A29" s="865"/>
      <c r="B29" s="362" t="s">
        <v>628</v>
      </c>
      <c r="C29" s="48"/>
      <c r="D29" s="48"/>
      <c r="E29" s="48"/>
      <c r="F29" s="49"/>
      <c r="G29" s="50"/>
      <c r="H29" s="50"/>
      <c r="I29" s="51"/>
      <c r="J29" s="883"/>
      <c r="K29" s="24"/>
    </row>
    <row r="30" spans="1:11" ht="15.75">
      <c r="A30" s="865"/>
      <c r="B30" s="96" t="s">
        <v>629</v>
      </c>
      <c r="C30" s="48"/>
      <c r="D30" s="48"/>
      <c r="E30" s="48"/>
      <c r="F30" s="49"/>
      <c r="G30" s="50"/>
      <c r="H30" s="50"/>
      <c r="I30" s="51"/>
      <c r="J30" s="883"/>
      <c r="K30" s="24"/>
    </row>
    <row r="31" spans="1:11" ht="15.75">
      <c r="A31" s="865"/>
      <c r="B31" s="96" t="s">
        <v>1302</v>
      </c>
      <c r="C31" s="48"/>
      <c r="D31" s="48"/>
      <c r="E31" s="48"/>
      <c r="F31" s="49"/>
      <c r="G31" s="50"/>
      <c r="H31" s="50"/>
      <c r="I31" s="51"/>
      <c r="J31" s="883"/>
      <c r="K31" s="24"/>
    </row>
    <row r="32" spans="1:11" ht="15.75">
      <c r="A32" s="865"/>
      <c r="B32" s="96" t="s">
        <v>1303</v>
      </c>
      <c r="C32" s="48"/>
      <c r="D32" s="48"/>
      <c r="E32" s="48"/>
      <c r="F32" s="49"/>
      <c r="G32" s="99">
        <v>284.40000000000003</v>
      </c>
      <c r="H32" s="99">
        <v>297</v>
      </c>
      <c r="I32" s="100">
        <v>0.51892499999999997</v>
      </c>
      <c r="J32" s="883"/>
      <c r="K32" s="24"/>
    </row>
    <row r="33" spans="1:11" ht="15.75">
      <c r="A33" s="865"/>
      <c r="B33" s="96"/>
      <c r="C33" s="48"/>
      <c r="D33" s="48"/>
      <c r="E33" s="48"/>
      <c r="F33" s="49"/>
      <c r="G33" s="99"/>
      <c r="H33" s="99"/>
      <c r="I33" s="100"/>
      <c r="J33" s="883"/>
      <c r="K33" s="24"/>
    </row>
    <row r="34" spans="1:11" ht="15.75">
      <c r="A34" s="865"/>
      <c r="B34" s="97" t="s">
        <v>632</v>
      </c>
      <c r="C34" s="48"/>
      <c r="D34" s="48"/>
      <c r="E34" s="48"/>
      <c r="F34" s="49"/>
      <c r="G34" s="99"/>
      <c r="H34" s="99"/>
      <c r="I34" s="100"/>
      <c r="J34" s="883"/>
      <c r="K34" s="24"/>
    </row>
    <row r="35" spans="1:11" ht="15.75">
      <c r="A35" s="865"/>
      <c r="B35" s="97"/>
      <c r="C35" s="48"/>
      <c r="D35" s="48"/>
      <c r="E35" s="48"/>
      <c r="F35" s="49"/>
      <c r="G35" s="99"/>
      <c r="H35" s="99"/>
      <c r="I35" s="100"/>
      <c r="J35" s="883"/>
      <c r="K35" s="24"/>
    </row>
    <row r="36" spans="1:11" ht="15.75">
      <c r="A36" s="865"/>
      <c r="B36" s="97"/>
      <c r="C36" s="48"/>
      <c r="D36" s="48"/>
      <c r="E36" s="48"/>
      <c r="F36" s="49"/>
      <c r="G36" s="99"/>
      <c r="H36" s="99"/>
      <c r="I36" s="100"/>
      <c r="J36" s="883"/>
      <c r="K36" s="24"/>
    </row>
    <row r="37" spans="1:11" ht="15.75">
      <c r="A37" s="865"/>
      <c r="B37" s="97"/>
      <c r="C37" s="48"/>
      <c r="D37" s="48"/>
      <c r="E37" s="48"/>
      <c r="F37" s="49"/>
      <c r="G37" s="99"/>
      <c r="H37" s="99"/>
      <c r="I37" s="100"/>
      <c r="J37" s="883"/>
      <c r="K37" s="24"/>
    </row>
    <row r="38" spans="1:11" ht="15.75">
      <c r="A38" s="865"/>
      <c r="B38" s="97"/>
      <c r="C38" s="48"/>
      <c r="D38" s="48"/>
      <c r="E38" s="48"/>
      <c r="F38" s="49"/>
      <c r="G38" s="99"/>
      <c r="H38" s="99"/>
      <c r="I38" s="100"/>
      <c r="J38" s="883"/>
      <c r="K38" s="24"/>
    </row>
    <row r="39" spans="1:11" ht="15.75">
      <c r="A39" s="865"/>
      <c r="B39" s="98"/>
      <c r="C39" s="53"/>
      <c r="D39" s="53"/>
      <c r="E39" s="53"/>
      <c r="F39" s="54"/>
      <c r="G39" s="99"/>
      <c r="H39" s="99"/>
      <c r="I39" s="100"/>
      <c r="J39" s="883"/>
      <c r="K39" s="24"/>
    </row>
    <row r="40" spans="1:11" ht="15.75">
      <c r="A40" s="865"/>
      <c r="B40" s="97"/>
      <c r="C40" s="48"/>
      <c r="D40" s="48"/>
      <c r="E40" s="48"/>
      <c r="F40" s="49"/>
      <c r="G40" s="99"/>
      <c r="H40" s="99"/>
      <c r="I40" s="100"/>
      <c r="J40" s="883"/>
      <c r="K40" s="24"/>
    </row>
    <row r="41" spans="1:11" ht="15.75">
      <c r="A41" s="865"/>
      <c r="B41" s="97"/>
      <c r="C41" s="48"/>
      <c r="D41" s="48"/>
      <c r="E41" s="48"/>
      <c r="F41" s="49"/>
      <c r="G41" s="99"/>
      <c r="H41" s="99"/>
      <c r="I41" s="100"/>
      <c r="J41" s="883"/>
      <c r="K41" s="24"/>
    </row>
    <row r="42" spans="1:11" ht="15.75">
      <c r="A42" s="865"/>
      <c r="B42" s="97"/>
      <c r="C42" s="48"/>
      <c r="D42" s="48"/>
      <c r="E42" s="48"/>
      <c r="F42" s="49"/>
      <c r="G42" s="99"/>
      <c r="H42" s="99"/>
      <c r="I42" s="100"/>
      <c r="J42" s="883"/>
      <c r="K42" s="24"/>
    </row>
    <row r="43" spans="1:11" ht="15.75">
      <c r="A43" s="865"/>
      <c r="B43" s="97"/>
      <c r="C43" s="48"/>
      <c r="D43" s="48"/>
      <c r="E43" s="48"/>
      <c r="F43" s="49"/>
      <c r="G43" s="99"/>
      <c r="H43" s="99"/>
      <c r="I43" s="100"/>
      <c r="J43" s="883"/>
      <c r="K43" s="24"/>
    </row>
    <row r="44" spans="1:11" ht="15.75">
      <c r="A44" s="865"/>
      <c r="B44" s="97"/>
      <c r="C44" s="48"/>
      <c r="D44" s="48"/>
      <c r="E44" s="48"/>
      <c r="F44" s="49"/>
      <c r="G44" s="99"/>
      <c r="H44" s="99"/>
      <c r="I44" s="100"/>
      <c r="J44" s="883"/>
      <c r="K44" s="24"/>
    </row>
    <row r="45" spans="1:11" ht="15.75">
      <c r="A45" s="865"/>
      <c r="B45" s="97"/>
      <c r="C45" s="48"/>
      <c r="D45" s="48"/>
      <c r="E45" s="48"/>
      <c r="F45" s="49"/>
      <c r="G45" s="99"/>
      <c r="H45" s="99"/>
      <c r="I45" s="100"/>
      <c r="J45" s="883"/>
      <c r="K45" s="24"/>
    </row>
    <row r="46" spans="1:11" ht="15.75">
      <c r="A46" s="865"/>
      <c r="B46" s="97"/>
      <c r="C46" s="53"/>
      <c r="D46" s="53"/>
      <c r="E46" s="53"/>
      <c r="F46" s="54"/>
      <c r="G46" s="99"/>
      <c r="H46" s="99"/>
      <c r="I46" s="100"/>
      <c r="J46" s="883"/>
      <c r="K46" s="24"/>
    </row>
    <row r="47" spans="1:11" ht="15.75">
      <c r="A47" s="865"/>
      <c r="B47" s="98"/>
      <c r="C47" s="53"/>
      <c r="D47" s="53"/>
      <c r="E47" s="53"/>
      <c r="F47" s="54"/>
      <c r="G47" s="50"/>
      <c r="H47" s="50"/>
      <c r="I47" s="51"/>
      <c r="J47" s="883"/>
      <c r="K47" s="24"/>
    </row>
    <row r="48" spans="1:11" ht="15.75">
      <c r="A48" s="865"/>
      <c r="B48" s="98"/>
      <c r="C48" s="53"/>
      <c r="D48" s="53"/>
      <c r="E48" s="53"/>
      <c r="F48" s="54"/>
      <c r="G48" s="50"/>
      <c r="H48" s="50"/>
      <c r="I48" s="51"/>
      <c r="J48" s="883"/>
      <c r="K48" s="24"/>
    </row>
    <row r="49" spans="1:11" ht="15.75">
      <c r="A49" s="865"/>
      <c r="B49" s="98"/>
      <c r="C49" s="53"/>
      <c r="D49" s="53"/>
      <c r="E49" s="53"/>
      <c r="F49" s="54"/>
      <c r="G49" s="50"/>
      <c r="H49" s="50"/>
      <c r="I49" s="51"/>
      <c r="J49" s="883"/>
      <c r="K49" s="24"/>
    </row>
    <row r="50" spans="1:11" ht="15.75">
      <c r="A50" s="865"/>
      <c r="B50" s="52"/>
      <c r="C50" s="53"/>
      <c r="D50" s="53"/>
      <c r="E50" s="53"/>
      <c r="F50" s="54"/>
      <c r="G50" s="50"/>
      <c r="H50" s="50"/>
      <c r="I50" s="51"/>
      <c r="J50" s="883"/>
      <c r="K50" s="24"/>
    </row>
    <row r="51" spans="1:11" ht="15.75">
      <c r="A51" s="865"/>
      <c r="B51" s="52"/>
      <c r="C51" s="53"/>
      <c r="D51" s="53"/>
      <c r="E51" s="53"/>
      <c r="F51" s="54"/>
      <c r="G51" s="50"/>
      <c r="H51" s="50"/>
      <c r="I51" s="51"/>
      <c r="J51" s="883"/>
      <c r="K51" s="24"/>
    </row>
    <row r="52" spans="1:11" ht="15.75">
      <c r="A52" s="865"/>
      <c r="B52" s="47"/>
      <c r="C52" s="48"/>
      <c r="D52" s="48"/>
      <c r="E52" s="48"/>
      <c r="F52" s="49"/>
      <c r="G52" s="50"/>
      <c r="H52" s="50"/>
      <c r="I52" s="51"/>
      <c r="J52" s="883"/>
      <c r="K52" s="24"/>
    </row>
    <row r="53" spans="1:11" ht="15.75">
      <c r="A53" s="865"/>
      <c r="B53" s="47"/>
      <c r="C53" s="48"/>
      <c r="D53" s="48"/>
      <c r="E53" s="48"/>
      <c r="F53" s="49"/>
      <c r="G53" s="50"/>
      <c r="H53" s="55"/>
      <c r="I53" s="51"/>
      <c r="J53" s="883"/>
      <c r="K53" s="24"/>
    </row>
    <row r="54" spans="1:11">
      <c r="A54" s="865"/>
      <c r="B54" s="338"/>
      <c r="C54" s="339"/>
      <c r="D54" s="339"/>
      <c r="E54" s="339"/>
      <c r="F54" s="340"/>
      <c r="G54" s="59"/>
      <c r="H54" s="36" t="s">
        <v>633</v>
      </c>
      <c r="I54" s="36" t="s">
        <v>634</v>
      </c>
      <c r="J54" s="883"/>
      <c r="K54" s="24"/>
    </row>
    <row r="55" spans="1:11" ht="15.75">
      <c r="A55" s="865"/>
      <c r="B55" s="333"/>
      <c r="C55" s="334"/>
      <c r="D55" s="334"/>
      <c r="E55" s="334"/>
      <c r="F55" s="335"/>
      <c r="G55" s="63"/>
      <c r="H55" s="102">
        <f>SUM(H28:H53)</f>
        <v>297</v>
      </c>
      <c r="I55" s="101">
        <f>SUM(I29:I54)</f>
        <v>0.51892499999999997</v>
      </c>
      <c r="J55" s="883"/>
      <c r="K55" s="24"/>
    </row>
    <row r="56" spans="1:11">
      <c r="A56" s="865"/>
      <c r="B56" s="36" t="s">
        <v>635</v>
      </c>
      <c r="C56" s="812" t="s">
        <v>636</v>
      </c>
      <c r="D56" s="813"/>
      <c r="E56" s="812" t="s">
        <v>637</v>
      </c>
      <c r="F56" s="814"/>
      <c r="G56" s="813"/>
      <c r="H56" s="337" t="s">
        <v>638</v>
      </c>
      <c r="I56" s="36" t="s">
        <v>639</v>
      </c>
      <c r="J56" s="883"/>
      <c r="K56" s="24"/>
    </row>
    <row r="57" spans="1:11">
      <c r="A57" s="865"/>
      <c r="B57" s="64" t="s">
        <v>640</v>
      </c>
      <c r="C57" s="830"/>
      <c r="D57" s="831"/>
      <c r="E57" s="830"/>
      <c r="F57" s="832"/>
      <c r="G57" s="831"/>
      <c r="H57" s="65"/>
      <c r="I57" s="66" t="s">
        <v>641</v>
      </c>
      <c r="J57" s="883"/>
      <c r="K57" s="24"/>
    </row>
    <row r="58" spans="1:11" ht="15.75">
      <c r="A58" s="865"/>
      <c r="B58" s="67"/>
      <c r="C58" s="872"/>
      <c r="D58" s="873"/>
      <c r="E58" s="874"/>
      <c r="F58" s="875"/>
      <c r="G58" s="876"/>
      <c r="H58" s="65"/>
      <c r="I58" s="65"/>
      <c r="J58" s="883"/>
      <c r="K58" s="24"/>
    </row>
    <row r="59" spans="1:11" ht="12" customHeight="1">
      <c r="A59" s="865"/>
      <c r="B59" s="68"/>
      <c r="C59" s="834"/>
      <c r="D59" s="835"/>
      <c r="E59" s="834"/>
      <c r="F59" s="836"/>
      <c r="G59" s="835"/>
      <c r="H59" s="69"/>
      <c r="I59" s="69"/>
      <c r="J59" s="883"/>
      <c r="K59" s="24"/>
    </row>
    <row r="60" spans="1:11" ht="13.5" customHeight="1">
      <c r="A60" s="344"/>
      <c r="B60" s="837" t="s">
        <v>642</v>
      </c>
      <c r="C60" s="838"/>
      <c r="D60" s="839" t="s">
        <v>643</v>
      </c>
      <c r="E60" s="840"/>
      <c r="F60" s="840"/>
      <c r="G60" s="840"/>
      <c r="H60" s="840"/>
      <c r="I60" s="841"/>
      <c r="J60" s="884"/>
      <c r="K60" s="24"/>
    </row>
    <row r="61" spans="1:11" ht="25.5" customHeight="1">
      <c r="A61" s="23"/>
      <c r="B61" s="842" t="s">
        <v>644</v>
      </c>
      <c r="C61" s="843"/>
      <c r="D61" s="842" t="s">
        <v>645</v>
      </c>
      <c r="E61" s="844"/>
      <c r="F61" s="844"/>
      <c r="G61" s="844"/>
      <c r="H61" s="844"/>
      <c r="I61" s="843"/>
      <c r="J61" s="884"/>
      <c r="K61" s="24"/>
    </row>
    <row r="62" spans="1:11" ht="34.5" customHeight="1">
      <c r="A62" s="23"/>
      <c r="B62" s="845" t="s">
        <v>646</v>
      </c>
      <c r="C62" s="846"/>
      <c r="D62" s="847"/>
      <c r="E62" s="848"/>
      <c r="F62" s="848"/>
      <c r="G62" s="848"/>
      <c r="H62" s="848"/>
      <c r="I62" s="849"/>
      <c r="J62" s="884"/>
      <c r="K62" s="24"/>
    </row>
    <row r="63" spans="1:11">
      <c r="A63" s="23"/>
      <c r="B63" s="812" t="s">
        <v>647</v>
      </c>
      <c r="C63" s="813"/>
      <c r="D63" s="812" t="s">
        <v>648</v>
      </c>
      <c r="E63" s="814"/>
      <c r="F63" s="813"/>
      <c r="G63" s="812" t="s">
        <v>649</v>
      </c>
      <c r="H63" s="814"/>
      <c r="I63" s="813"/>
      <c r="J63" s="885"/>
      <c r="K63" s="24"/>
    </row>
    <row r="64" spans="1:11" ht="15.75">
      <c r="A64" s="23"/>
      <c r="B64" s="821" t="s">
        <v>593</v>
      </c>
      <c r="C64" s="822"/>
      <c r="D64" s="833"/>
      <c r="E64" s="824"/>
      <c r="F64" s="825"/>
      <c r="G64" s="821" t="s">
        <v>650</v>
      </c>
      <c r="H64" s="826"/>
      <c r="I64" s="822"/>
      <c r="J64" s="885"/>
      <c r="K64" s="24"/>
    </row>
    <row r="65" spans="1:11">
      <c r="A65" s="23"/>
      <c r="B65" s="812" t="s">
        <v>651</v>
      </c>
      <c r="C65" s="813"/>
      <c r="D65" s="812" t="s">
        <v>652</v>
      </c>
      <c r="E65" s="814"/>
      <c r="F65" s="813"/>
      <c r="G65" s="812" t="s">
        <v>651</v>
      </c>
      <c r="H65" s="814"/>
      <c r="I65" s="813"/>
      <c r="J65" s="885"/>
      <c r="K65" s="24"/>
    </row>
    <row r="66" spans="1:11" ht="15.75">
      <c r="A66" s="23"/>
      <c r="B66" s="821" t="s">
        <v>653</v>
      </c>
      <c r="C66" s="822"/>
      <c r="D66" s="827"/>
      <c r="E66" s="828"/>
      <c r="F66" s="829"/>
      <c r="G66" s="821" t="s">
        <v>653</v>
      </c>
      <c r="H66" s="826"/>
      <c r="I66" s="822"/>
      <c r="J66" s="885"/>
      <c r="K66" s="24"/>
    </row>
    <row r="67" spans="1:11">
      <c r="A67" s="23"/>
      <c r="B67" s="812" t="s">
        <v>654</v>
      </c>
      <c r="C67" s="813"/>
      <c r="D67" s="812" t="s">
        <v>655</v>
      </c>
      <c r="E67" s="814"/>
      <c r="F67" s="813"/>
      <c r="G67" s="812" t="s">
        <v>654</v>
      </c>
      <c r="H67" s="814"/>
      <c r="I67" s="813"/>
      <c r="J67" s="885"/>
      <c r="K67" s="24"/>
    </row>
    <row r="68" spans="1:11" ht="15.75">
      <c r="A68" s="23"/>
      <c r="B68" s="821" t="s">
        <v>1301</v>
      </c>
      <c r="C68" s="822"/>
      <c r="D68" s="823"/>
      <c r="E68" s="824"/>
      <c r="F68" s="825"/>
      <c r="G68" s="821" t="s">
        <v>1301</v>
      </c>
      <c r="H68" s="826"/>
      <c r="I68" s="822"/>
      <c r="J68" s="885"/>
      <c r="K68" s="24"/>
    </row>
    <row r="69" spans="1:11">
      <c r="A69" s="23"/>
      <c r="B69" s="812" t="s">
        <v>656</v>
      </c>
      <c r="C69" s="813"/>
      <c r="D69" s="812" t="s">
        <v>657</v>
      </c>
      <c r="E69" s="814"/>
      <c r="F69" s="813"/>
      <c r="G69" s="812" t="s">
        <v>656</v>
      </c>
      <c r="H69" s="814"/>
      <c r="I69" s="813"/>
      <c r="J69" s="885"/>
    </row>
    <row r="70" spans="1:11" ht="20.25">
      <c r="A70" s="23"/>
      <c r="B70" s="815"/>
      <c r="C70" s="816"/>
      <c r="D70" s="815"/>
      <c r="E70" s="817"/>
      <c r="F70" s="816"/>
      <c r="G70" s="818"/>
      <c r="H70" s="819"/>
      <c r="I70" s="820"/>
      <c r="J70" s="885"/>
    </row>
    <row r="71" spans="1:11" ht="20.25">
      <c r="A71" s="23"/>
      <c r="B71" s="806"/>
      <c r="C71" s="807"/>
      <c r="D71" s="806"/>
      <c r="E71" s="808"/>
      <c r="F71" s="807"/>
      <c r="G71" s="809"/>
      <c r="H71" s="810"/>
      <c r="I71" s="811"/>
      <c r="J71" s="885"/>
    </row>
  </sheetData>
  <mergeCells count="82"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  <mergeCell ref="B67:C67"/>
    <mergeCell ref="D67:F67"/>
    <mergeCell ref="G67:I67"/>
    <mergeCell ref="B68:C68"/>
    <mergeCell ref="D68:F68"/>
    <mergeCell ref="G68:I68"/>
    <mergeCell ref="B65:C65"/>
    <mergeCell ref="D65:F65"/>
    <mergeCell ref="G65:I65"/>
    <mergeCell ref="B66:C66"/>
    <mergeCell ref="D66:F66"/>
    <mergeCell ref="G66:I6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C26:D26"/>
    <mergeCell ref="E26:F26"/>
    <mergeCell ref="C27:F27"/>
    <mergeCell ref="C56:D56"/>
    <mergeCell ref="E56:G56"/>
    <mergeCell ref="B16:D16"/>
    <mergeCell ref="B17:D17"/>
    <mergeCell ref="B18:D18"/>
    <mergeCell ref="C25:D25"/>
    <mergeCell ref="E25:I25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E1:I1"/>
    <mergeCell ref="B3:D3"/>
    <mergeCell ref="E3:I3"/>
    <mergeCell ref="B8:D8"/>
    <mergeCell ref="E9:I9"/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69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Foglio25"/>
  <dimension ref="A1:I8"/>
  <sheetViews>
    <sheetView topLeftCell="D1" workbookViewId="0">
      <pane ySplit="1" topLeftCell="A2" activePane="bottomLeft" state="frozen"/>
      <selection activeCell="A2" sqref="A2"/>
      <selection pane="bottomLeft" activeCell="H2" sqref="H2"/>
    </sheetView>
  </sheetViews>
  <sheetFormatPr defaultRowHeight="15"/>
  <cols>
    <col min="1" max="2" width="23.42578125" customWidth="1"/>
    <col min="3" max="6" width="26.85546875" customWidth="1"/>
    <col min="7" max="7" width="21.42578125" style="199" customWidth="1"/>
    <col min="8" max="8" width="22.5703125" style="199" customWidth="1"/>
    <col min="9" max="9" width="23.140625" style="199" customWidth="1"/>
  </cols>
  <sheetData>
    <row r="1" spans="1:9" s="671" customFormat="1">
      <c r="A1" s="671" t="s">
        <v>1272</v>
      </c>
      <c r="B1" s="671" t="s">
        <v>1273</v>
      </c>
      <c r="C1" s="671" t="s">
        <v>1267</v>
      </c>
      <c r="D1" s="671" t="s">
        <v>1268</v>
      </c>
      <c r="E1" s="671" t="s">
        <v>1269</v>
      </c>
      <c r="F1" s="671" t="s">
        <v>1270</v>
      </c>
      <c r="G1" s="73" t="s">
        <v>1266</v>
      </c>
      <c r="H1" s="73" t="s">
        <v>1283</v>
      </c>
      <c r="I1" s="73" t="s">
        <v>1289</v>
      </c>
    </row>
    <row r="2" spans="1:9">
      <c r="A2" t="s">
        <v>1271</v>
      </c>
      <c r="B2" t="s">
        <v>1291</v>
      </c>
      <c r="C2" t="s">
        <v>1308</v>
      </c>
      <c r="D2" t="s">
        <v>1309</v>
      </c>
      <c r="G2" s="199" t="s">
        <v>1292</v>
      </c>
    </row>
    <row r="3" spans="1:9">
      <c r="A3" t="s">
        <v>1009</v>
      </c>
    </row>
    <row r="4" spans="1:9">
      <c r="A4" t="s">
        <v>1260</v>
      </c>
      <c r="B4" t="s">
        <v>1274</v>
      </c>
      <c r="C4" t="s">
        <v>1275</v>
      </c>
      <c r="D4" t="s">
        <v>1276</v>
      </c>
    </row>
    <row r="5" spans="1:9">
      <c r="A5" s="393" t="s">
        <v>1277</v>
      </c>
      <c r="B5" s="393" t="s">
        <v>1277</v>
      </c>
      <c r="C5" s="393" t="s">
        <v>1281</v>
      </c>
      <c r="D5" s="393" t="s">
        <v>1282</v>
      </c>
      <c r="E5" s="393"/>
      <c r="F5" s="393"/>
      <c r="G5" s="440" t="s">
        <v>1287</v>
      </c>
      <c r="H5" s="199" t="s">
        <v>1284</v>
      </c>
    </row>
    <row r="6" spans="1:9">
      <c r="A6" s="393" t="s">
        <v>1278</v>
      </c>
      <c r="B6" s="393" t="s">
        <v>1285</v>
      </c>
      <c r="C6" s="393" t="s">
        <v>1279</v>
      </c>
      <c r="D6" s="393" t="s">
        <v>1280</v>
      </c>
      <c r="E6" s="393"/>
      <c r="F6" s="393"/>
      <c r="G6" s="440" t="s">
        <v>1288</v>
      </c>
      <c r="H6" s="199" t="s">
        <v>1286</v>
      </c>
      <c r="I6" s="199" t="s">
        <v>1290</v>
      </c>
    </row>
    <row r="7" spans="1:9">
      <c r="A7" s="393" t="s">
        <v>1306</v>
      </c>
      <c r="B7" s="393"/>
      <c r="C7" s="393"/>
      <c r="D7" s="393"/>
      <c r="E7" s="393"/>
      <c r="F7" s="393"/>
      <c r="G7" s="440"/>
      <c r="H7" s="440"/>
      <c r="I7" s="440"/>
    </row>
    <row r="8" spans="1:9">
      <c r="A8" s="393" t="s">
        <v>1307</v>
      </c>
      <c r="B8" s="393"/>
      <c r="C8" s="393"/>
      <c r="D8" s="393"/>
      <c r="E8" s="393"/>
      <c r="F8" s="393"/>
      <c r="G8" s="440"/>
      <c r="H8" s="440"/>
      <c r="I8" s="440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Foglio2"/>
  <dimension ref="A1:ZZ250"/>
  <sheetViews>
    <sheetView showGridLines="0" tabSelected="1" topLeftCell="C1" zoomScaleNormal="100" workbookViewId="0">
      <selection activeCell="L28" sqref="L28"/>
    </sheetView>
  </sheetViews>
  <sheetFormatPr defaultRowHeight="15"/>
  <cols>
    <col min="1" max="1" width="24.5703125" style="117" hidden="1" customWidth="1"/>
    <col min="2" max="2" width="20.7109375" style="113" hidden="1" customWidth="1"/>
    <col min="3" max="3" width="3.42578125" customWidth="1"/>
    <col min="4" max="4" width="25.5703125" customWidth="1"/>
    <col min="5" max="5" width="3.28515625" customWidth="1"/>
    <col min="6" max="6" width="2.5703125" customWidth="1"/>
    <col min="7" max="7" width="20.7109375" customWidth="1"/>
    <col min="8" max="8" width="4" customWidth="1"/>
    <col min="9" max="9" width="20.7109375" customWidth="1"/>
    <col min="10" max="10" width="2.5703125" customWidth="1"/>
    <col min="11" max="11" width="1.85546875" customWidth="1"/>
    <col min="12" max="12" width="31.7109375" customWidth="1"/>
    <col min="13" max="13" width="10.85546875" style="1" customWidth="1"/>
    <col min="14" max="14" width="13.140625" customWidth="1"/>
    <col min="15" max="15" width="14.28515625" customWidth="1"/>
    <col min="16" max="16" width="13.85546875" customWidth="1"/>
    <col min="17" max="17" width="12.7109375" customWidth="1"/>
    <col min="18" max="19" width="13.85546875" customWidth="1"/>
    <col min="20" max="20" width="15.5703125" customWidth="1"/>
    <col min="21" max="21" width="15.85546875" customWidth="1"/>
    <col min="22" max="22" width="21.42578125" customWidth="1"/>
    <col min="23" max="23" width="3.5703125" customWidth="1"/>
    <col min="24" max="24" width="24.5703125" customWidth="1"/>
    <col min="25" max="39" width="8.7109375" customWidth="1"/>
    <col min="40" max="40" width="2.5703125" customWidth="1"/>
    <col min="41" max="41" width="25.5703125" customWidth="1"/>
    <col min="42" max="42" width="3.140625" customWidth="1"/>
    <col min="43" max="43" width="21" customWidth="1"/>
    <col min="44" max="44" width="13.7109375" customWidth="1"/>
    <col min="45" max="45" width="16.5703125" customWidth="1"/>
    <col min="46" max="46" width="14.42578125" customWidth="1"/>
    <col min="47" max="49" width="2.140625" customWidth="1"/>
    <col min="50" max="50" width="22.28515625" customWidth="1"/>
    <col min="51" max="51" width="5.85546875" customWidth="1"/>
    <col min="52" max="52" width="12.5703125" customWidth="1"/>
    <col min="53" max="53" width="8.5703125" customWidth="1"/>
    <col min="54" max="54" width="10.140625" customWidth="1"/>
    <col min="55" max="57" width="2.140625" customWidth="1"/>
    <col min="58" max="58" width="15.85546875" customWidth="1"/>
    <col min="59" max="59" width="9.7109375" style="1" customWidth="1"/>
    <col min="60" max="60" width="23.140625" customWidth="1"/>
    <col min="61" max="61" width="37.140625" customWidth="1"/>
    <col min="62" max="62" width="2.42578125" customWidth="1"/>
    <col min="63" max="63" width="11.5703125" style="140" customWidth="1"/>
    <col min="64" max="64" width="11.5703125" style="141" customWidth="1"/>
    <col min="65" max="65" width="11.5703125" style="142" customWidth="1"/>
    <col min="66" max="66" width="11.5703125" style="141" customWidth="1"/>
    <col min="67" max="67" width="13.140625" style="142" customWidth="1"/>
    <col min="68" max="68" width="14.28515625" customWidth="1"/>
    <col min="69" max="71" width="50.5703125" customWidth="1"/>
    <col min="72" max="73" width="8.7109375" customWidth="1"/>
    <col min="74" max="75" width="2.5703125" customWidth="1"/>
    <col min="76" max="76" width="25.5703125" customWidth="1"/>
    <col min="77" max="77" width="2.5703125" customWidth="1"/>
    <col min="78" max="78" width="11.140625" customWidth="1"/>
    <col min="79" max="79" width="58.42578125" customWidth="1"/>
    <col min="80" max="81" width="11.140625" customWidth="1"/>
    <col min="82" max="82" width="11.140625" style="172" customWidth="1"/>
    <col min="83" max="84" width="11.140625" customWidth="1"/>
    <col min="85" max="87" width="8.85546875" style="17" customWidth="1"/>
    <col min="88" max="91" width="8.85546875" style="196" customWidth="1"/>
    <col min="92" max="94" width="8.85546875" style="7" customWidth="1"/>
    <col min="95" max="95" width="11.140625" customWidth="1"/>
    <col min="96" max="96" width="12.140625" customWidth="1"/>
    <col min="97" max="97" width="13.28515625" customWidth="1"/>
    <col min="98" max="98" width="3.140625" customWidth="1"/>
    <col min="99" max="99" width="2.140625" customWidth="1"/>
    <col min="100" max="100" width="16.42578125" customWidth="1"/>
    <col min="101" max="101" width="16.5703125" customWidth="1"/>
    <col min="102" max="102" width="14.28515625" customWidth="1"/>
    <col min="103" max="103" width="14.5703125" customWidth="1"/>
    <col min="104" max="104" width="2.140625" customWidth="1"/>
    <col min="105" max="106" width="50.5703125" customWidth="1"/>
    <col min="107" max="107" width="2.5703125" customWidth="1"/>
    <col min="108" max="108" width="26.7109375" customWidth="1"/>
    <col min="109" max="109" width="3" customWidth="1"/>
    <col min="110" max="111" width="8.5703125" customWidth="1"/>
    <col min="112" max="112" width="8.7109375" style="74" customWidth="1"/>
    <col min="113" max="131" width="8.7109375" customWidth="1"/>
    <col min="132" max="132" width="2.7109375" customWidth="1"/>
    <col min="133" max="133" width="25.7109375" customWidth="1"/>
    <col min="134" max="134" width="2.7109375" customWidth="1"/>
    <col min="135" max="135" width="8.7109375" customWidth="1"/>
    <col min="136" max="136" width="64.7109375" customWidth="1"/>
    <col min="137" max="140" width="20.42578125" customWidth="1"/>
    <col min="141" max="141" width="6.7109375" customWidth="1"/>
    <col min="142" max="142" width="6" customWidth="1"/>
    <col min="143" max="143" width="18.28515625" customWidth="1"/>
    <col min="144" max="144" width="56.7109375" customWidth="1"/>
    <col min="145" max="145" width="14.7109375" customWidth="1"/>
    <col min="146" max="146" width="8.7109375" customWidth="1"/>
    <col min="147" max="147" width="18.28515625" customWidth="1"/>
    <col min="148" max="148" width="51.7109375" customWidth="1"/>
    <col min="149" max="149" width="13.140625" customWidth="1"/>
    <col min="150" max="154" width="8.7109375" customWidth="1"/>
    <col min="155" max="158" width="50.7109375" customWidth="1"/>
    <col min="159" max="159" width="2.7109375" customWidth="1"/>
    <col min="160" max="160" width="26.7109375" customWidth="1"/>
    <col min="161" max="161" width="2.5703125" customWidth="1"/>
    <col min="162" max="677" width="9.140625" customWidth="1"/>
    <col min="678" max="678" width="8.7109375" customWidth="1"/>
    <col min="679" max="679" width="2.5703125" customWidth="1"/>
    <col min="680" max="680" width="25.5703125" customWidth="1"/>
    <col min="681" max="681" width="2.5703125" customWidth="1"/>
  </cols>
  <sheetData>
    <row r="1" spans="1:702">
      <c r="B1" s="117"/>
      <c r="D1" s="393"/>
    </row>
    <row r="2" spans="1:702" ht="9" customHeight="1">
      <c r="A2" s="278" t="s">
        <v>658</v>
      </c>
      <c r="B2" s="374">
        <f>IF(B4="","",MATCH(B4,M10:M42,0)+9)</f>
        <v>28</v>
      </c>
      <c r="D2" s="681"/>
      <c r="T2" s="366"/>
      <c r="U2" s="367"/>
      <c r="W2" s="114"/>
      <c r="AR2" s="114"/>
      <c r="AS2" s="114"/>
      <c r="AT2" s="114"/>
    </row>
    <row r="3" spans="1:702" ht="8.1" customHeight="1">
      <c r="A3" s="278" t="s">
        <v>659</v>
      </c>
      <c r="B3" s="374">
        <v>0</v>
      </c>
      <c r="D3" s="680"/>
      <c r="U3" s="114"/>
      <c r="W3" s="114"/>
      <c r="AR3" s="114"/>
      <c r="AS3" s="114"/>
      <c r="AT3" s="114"/>
    </row>
    <row r="4" spans="1:702" ht="8.1" customHeight="1">
      <c r="A4" s="278" t="s">
        <v>660</v>
      </c>
      <c r="B4" s="374">
        <f>M28</f>
        <v>4</v>
      </c>
      <c r="D4" s="680"/>
      <c r="R4" s="280"/>
      <c r="S4" s="280"/>
      <c r="U4" s="114"/>
      <c r="W4" s="114"/>
      <c r="AR4" s="114"/>
      <c r="AS4" s="114"/>
      <c r="AT4" s="114"/>
    </row>
    <row r="5" spans="1:702" ht="8.1" customHeight="1">
      <c r="A5" s="278" t="s">
        <v>661</v>
      </c>
      <c r="B5" s="374">
        <v>6</v>
      </c>
      <c r="D5" s="680"/>
      <c r="I5" s="14"/>
      <c r="L5" s="549"/>
      <c r="M5" s="411"/>
      <c r="O5" s="14"/>
      <c r="P5" s="17"/>
      <c r="U5" s="114"/>
      <c r="W5" s="114"/>
      <c r="AQ5" s="152"/>
      <c r="AR5" s="114"/>
      <c r="AS5" s="114"/>
      <c r="AT5" s="114"/>
    </row>
    <row r="6" spans="1:702">
      <c r="A6" s="278" t="s">
        <v>662</v>
      </c>
      <c r="B6" s="279" t="str">
        <f>L28</f>
        <v>DRUNI</v>
      </c>
      <c r="D6" s="680"/>
      <c r="L6" s="412" t="s">
        <v>760</v>
      </c>
      <c r="M6" s="186" t="s">
        <v>884</v>
      </c>
      <c r="N6" s="956" t="s">
        <v>449</v>
      </c>
      <c r="O6" s="957"/>
      <c r="P6" s="186" t="s">
        <v>883</v>
      </c>
      <c r="Q6" s="956" t="s">
        <v>1206</v>
      </c>
      <c r="R6" s="957"/>
      <c r="U6" s="368"/>
      <c r="V6" s="369"/>
      <c r="W6" s="114"/>
      <c r="AQ6" s="152"/>
      <c r="AR6" s="114"/>
      <c r="AS6" s="114"/>
      <c r="AT6" s="114"/>
      <c r="AY6" s="152"/>
      <c r="AZ6" s="152"/>
      <c r="BA6" s="152"/>
      <c r="BB6" s="152"/>
      <c r="BC6" s="152"/>
      <c r="DJ6" s="281"/>
      <c r="DK6" s="282" t="s">
        <v>756</v>
      </c>
      <c r="DL6" s="901" t="s">
        <v>865</v>
      </c>
      <c r="DM6" s="902"/>
      <c r="DN6" s="902"/>
      <c r="DO6" s="902"/>
      <c r="DP6" s="902"/>
      <c r="DQ6" s="902"/>
      <c r="DR6" s="902"/>
      <c r="DS6" s="902"/>
      <c r="DT6" s="902"/>
      <c r="DU6" s="902"/>
      <c r="DV6" s="903"/>
      <c r="EM6" s="95" t="s">
        <v>890</v>
      </c>
      <c r="EN6" t="s">
        <v>1106</v>
      </c>
      <c r="EQ6" s="95" t="s">
        <v>890</v>
      </c>
      <c r="ER6" t="s">
        <v>1002</v>
      </c>
      <c r="ZF6" t="s">
        <v>937</v>
      </c>
      <c r="ZQ6" t="s">
        <v>938</v>
      </c>
    </row>
    <row r="7" spans="1:702">
      <c r="A7" s="278" t="s">
        <v>887</v>
      </c>
      <c r="B7" s="279">
        <f>IFERROR(VLOOKUP(B4,orderHistory[],2,FALSE),"")</f>
        <v>45300</v>
      </c>
      <c r="D7" s="17"/>
      <c r="E7" s="17"/>
      <c r="F7" s="17"/>
      <c r="G7" s="17"/>
      <c r="H7" s="17"/>
      <c r="I7" s="17"/>
      <c r="J7" s="17"/>
      <c r="K7" s="17"/>
      <c r="L7" s="411"/>
      <c r="M7" s="413"/>
      <c r="U7" s="114"/>
      <c r="V7" s="17"/>
      <c r="W7" s="114"/>
      <c r="AR7" s="114"/>
      <c r="AS7" s="114"/>
      <c r="AT7" s="114"/>
      <c r="AY7" s="19"/>
      <c r="AZ7" s="17"/>
      <c r="BB7" s="19"/>
      <c r="BC7" s="17"/>
      <c r="EM7" s="95" t="s">
        <v>1</v>
      </c>
      <c r="EN7" t="s">
        <v>1106</v>
      </c>
      <c r="EQ7" s="95" t="s">
        <v>1</v>
      </c>
      <c r="ER7" t="s">
        <v>1106</v>
      </c>
    </row>
    <row r="8" spans="1:702" ht="15" customHeight="1" thickBot="1">
      <c r="A8" s="278" t="s">
        <v>663</v>
      </c>
      <c r="B8" s="279">
        <v>0</v>
      </c>
      <c r="D8" s="18" t="s">
        <v>664</v>
      </c>
      <c r="F8" s="71" t="s">
        <v>757</v>
      </c>
      <c r="L8" s="206" t="s">
        <v>888</v>
      </c>
      <c r="U8" s="114"/>
      <c r="W8" s="114"/>
      <c r="AO8" s="14" t="s">
        <v>665</v>
      </c>
      <c r="AQ8" s="71" t="s">
        <v>666</v>
      </c>
      <c r="AR8" s="114"/>
      <c r="AS8" s="114"/>
      <c r="AT8" s="114"/>
      <c r="AW8" s="71" t="s">
        <v>667</v>
      </c>
      <c r="BE8" s="71" t="s">
        <v>864</v>
      </c>
      <c r="BO8" s="143"/>
      <c r="BX8" s="14" t="s">
        <v>665</v>
      </c>
      <c r="BZ8" s="71" t="s">
        <v>668</v>
      </c>
      <c r="CU8" s="71" t="s">
        <v>669</v>
      </c>
      <c r="DD8" s="14" t="s">
        <v>665</v>
      </c>
      <c r="DF8" s="206" t="s">
        <v>670</v>
      </c>
      <c r="EC8" s="445" t="s">
        <v>1125</v>
      </c>
      <c r="EE8" s="206" t="s">
        <v>1122</v>
      </c>
      <c r="EF8" s="1"/>
      <c r="FD8" s="14" t="s">
        <v>665</v>
      </c>
      <c r="ZF8" s="71" t="s">
        <v>758</v>
      </c>
      <c r="ZQ8" s="71" t="s">
        <v>936</v>
      </c>
    </row>
    <row r="9" spans="1:702" ht="15" customHeight="1" thickBot="1">
      <c r="A9" s="278" t="s">
        <v>891</v>
      </c>
      <c r="B9" s="279"/>
      <c r="D9" s="267"/>
      <c r="F9" s="153"/>
      <c r="G9" s="161" t="s">
        <v>671</v>
      </c>
      <c r="H9" s="118"/>
      <c r="I9" s="118"/>
      <c r="J9" s="119"/>
      <c r="L9" s="185" t="s">
        <v>436</v>
      </c>
      <c r="M9" s="127" t="s">
        <v>889</v>
      </c>
      <c r="N9" s="127" t="s">
        <v>890</v>
      </c>
      <c r="O9" s="127" t="s">
        <v>435</v>
      </c>
      <c r="P9" s="127" t="s">
        <v>449</v>
      </c>
      <c r="Q9" s="127" t="s">
        <v>450</v>
      </c>
      <c r="R9" s="127" t="s">
        <v>1185</v>
      </c>
      <c r="S9" s="127" t="s">
        <v>913</v>
      </c>
      <c r="T9" s="127" t="s">
        <v>453</v>
      </c>
      <c r="U9" s="255" t="s">
        <v>464</v>
      </c>
      <c r="V9" s="128" t="s">
        <v>447</v>
      </c>
      <c r="W9" s="114"/>
      <c r="AO9" s="272" t="str">
        <f>IF($B$6="",$D$9,$B$6)</f>
        <v>DRUNI</v>
      </c>
      <c r="AQ9" s="130"/>
      <c r="AR9" s="259"/>
      <c r="AS9" s="259"/>
      <c r="AT9" s="259"/>
      <c r="AU9" s="119"/>
      <c r="AW9" s="169"/>
      <c r="AX9" s="161"/>
      <c r="AY9" s="118"/>
      <c r="AZ9" s="118"/>
      <c r="BA9" s="118"/>
      <c r="BB9" s="118"/>
      <c r="BC9" s="118"/>
      <c r="BD9" s="180"/>
      <c r="BE9" s="316"/>
      <c r="BF9" s="317"/>
      <c r="BG9" s="318"/>
      <c r="BH9" s="317"/>
      <c r="BI9" s="317"/>
      <c r="BJ9" s="319"/>
      <c r="BO9" s="75"/>
      <c r="BX9" s="272" t="str">
        <f>IF($B$6="",$D$9,$B$6)</f>
        <v>DRUNI</v>
      </c>
      <c r="BZ9" s="163" t="s">
        <v>0</v>
      </c>
      <c r="CA9" s="164" t="s">
        <v>6</v>
      </c>
      <c r="CB9" s="164" t="s">
        <v>427</v>
      </c>
      <c r="CC9" s="165" t="s">
        <v>1186</v>
      </c>
      <c r="CD9" s="208" t="s">
        <v>428</v>
      </c>
      <c r="CE9" s="164" t="s">
        <v>429</v>
      </c>
      <c r="CF9" s="164" t="s">
        <v>430</v>
      </c>
      <c r="CG9" s="164" t="s">
        <v>672</v>
      </c>
      <c r="CH9" s="164" t="s">
        <v>1158</v>
      </c>
      <c r="CI9" s="164" t="s">
        <v>673</v>
      </c>
      <c r="CJ9" s="164" t="s">
        <v>15</v>
      </c>
      <c r="CK9" s="164" t="s">
        <v>16</v>
      </c>
      <c r="CL9" s="164" t="s">
        <v>31</v>
      </c>
      <c r="CM9" s="164" t="s">
        <v>1</v>
      </c>
      <c r="CN9" s="208" t="s">
        <v>415</v>
      </c>
      <c r="CO9" s="208" t="s">
        <v>5</v>
      </c>
      <c r="CP9" s="208" t="s">
        <v>674</v>
      </c>
      <c r="CQ9" s="165" t="s">
        <v>431</v>
      </c>
      <c r="CR9" s="165" t="s">
        <v>1187</v>
      </c>
      <c r="CS9" s="166" t="s">
        <v>1188</v>
      </c>
      <c r="CU9" s="169"/>
      <c r="CV9" s="118"/>
      <c r="CW9" s="118"/>
      <c r="CX9" s="118"/>
      <c r="CY9" s="118"/>
      <c r="CZ9" s="119"/>
      <c r="DD9" s="272" t="str">
        <f>IF($B$6="",$D$9,$B$6)</f>
        <v>DRUNI</v>
      </c>
      <c r="DF9" s="169"/>
      <c r="DG9" s="118"/>
      <c r="DH9" s="161"/>
      <c r="DI9" s="118"/>
      <c r="DJ9" s="118"/>
      <c r="DK9" s="118"/>
      <c r="DL9" s="118"/>
      <c r="DM9" s="118"/>
      <c r="DN9" s="118"/>
      <c r="DO9" s="118"/>
      <c r="DP9" s="118"/>
      <c r="DQ9" s="118"/>
      <c r="DR9" s="118"/>
      <c r="DS9" s="118"/>
      <c r="DT9" s="118"/>
      <c r="DU9" s="118"/>
      <c r="DV9" s="119"/>
      <c r="EC9" s="448"/>
      <c r="EE9" s="450" t="s">
        <v>1123</v>
      </c>
      <c r="EF9" s="451" t="s">
        <v>707</v>
      </c>
      <c r="EG9" s="452" t="s">
        <v>1124</v>
      </c>
      <c r="EH9" s="452" t="s">
        <v>1002</v>
      </c>
      <c r="EI9" s="452" t="s">
        <v>1154</v>
      </c>
      <c r="EJ9" s="452" t="s">
        <v>1126</v>
      </c>
      <c r="EM9" s="95" t="s">
        <v>746</v>
      </c>
      <c r="EN9" s="95" t="s">
        <v>6</v>
      </c>
      <c r="EO9" s="17" t="s">
        <v>1153</v>
      </c>
      <c r="EQ9" s="95" t="s">
        <v>746</v>
      </c>
      <c r="ER9" s="95" t="s">
        <v>6</v>
      </c>
      <c r="ES9" t="s">
        <v>1151</v>
      </c>
      <c r="FD9" s="126" t="str">
        <f>IF($B$6="",$D$9,$B$6)</f>
        <v>DRUNI</v>
      </c>
      <c r="ZF9" s="901" t="s">
        <v>948</v>
      </c>
      <c r="ZG9" s="902"/>
      <c r="ZH9" s="902"/>
      <c r="ZI9" s="902"/>
      <c r="ZJ9" s="902"/>
      <c r="ZK9" s="902"/>
      <c r="ZL9" s="902"/>
      <c r="ZM9" s="902"/>
      <c r="ZN9" s="902"/>
      <c r="ZO9" s="903"/>
      <c r="ZQ9" s="901" t="s">
        <v>948</v>
      </c>
      <c r="ZR9" s="902"/>
      <c r="ZS9" s="902"/>
      <c r="ZT9" s="902"/>
      <c r="ZU9" s="902"/>
      <c r="ZV9" s="902"/>
      <c r="ZW9" s="902"/>
      <c r="ZX9" s="902"/>
      <c r="ZY9" s="902"/>
      <c r="ZZ9" s="903"/>
    </row>
    <row r="10" spans="1:702" ht="15" customHeight="1">
      <c r="B10" s="254"/>
      <c r="D10" s="18" t="s">
        <v>675</v>
      </c>
      <c r="F10" s="154"/>
      <c r="G10" s="917" t="str">
        <f>IF($D$9="",IF($B$6="","Filter the orders by client or select an order from the list",INDEX(clientData[company_name1],MATCH($B$6,clientData[cod_cliente],0))),INDEX(clientData[company_name1],MATCH($D$9,clientData[cod_cliente],0)))</f>
        <v>DRUNI, S.A.</v>
      </c>
      <c r="H10" s="918"/>
      <c r="I10" s="919"/>
      <c r="J10" s="121"/>
      <c r="L10" s="274" t="str">
        <f t="array" ref="L10">IFERROR(IF($D$9="",IF($D$11="",IF($D$13="",INDEX(orderHistory[customer],SMALL(MATCH(ROW(orderHistory[customer]),ROW(orderHistory[customer])),ROWS($A$15:A15)+$B$3)),INDEX(orderHistory[customer],SMALL(IF(ISNUMBER(MATCH(orderHistory[order_type],$D$13,0)),MATCH(ROW(orderHistory[customer]),ROW(orderHistory[customer])),""),ROWS($A$15:A15)+$B$3))),IF($D$13="",INDEX(orderHistory[customer],SMALL(IF(ISNUMBER(MATCH(orderHistory[status],$D$11,0)),MATCH(ROW(orderHistory[customer]),ROW(orderHistory[customer])),""),ROWS($A$15:A15)+$B$3)),INDEX(orderHistory[customer],SMALL(IF(ISNUMBER(MATCH(orderHistory[status],$D$11,0)*MATCH(orderHistory[order_type],$D$13,0)),MATCH(ROW(orderHistory[customer]),ROW(orderHistory[customer])),""),ROWS($A$15:A15)+$B$3)))),IF($D$11="",IF($D$13="",INDEX(orderHistory[customer],SMALL(IF(ISNUMBER(MATCH(orderHistory[customer],$D$9,0)),MATCH(ROW(orderHistory[customer]),ROW(orderHistory[customer])),""),ROWS($A$15:A15)+$B$3)),INDEX(orderHistory[customer],SMALL(IF(ISNUMBER(MATCH(orderHistory[customer],$D$9,0)*MATCH(orderHistory[order_type],$D$13,0)),MATCH(ROW(orderHistory[customer]),ROW(orderHistory[customer])),""),ROWS($A$15:A15)+$B$3))),IF($D$13="",INDEX(orderHistory[customer],SMALL(IF(ISNUMBER(MATCH(orderHistory[customer],$D$9,0)*MATCH(orderHistory[status],$D$11,0)),MATCH(ROW(orderHistory[customer]),ROW(orderHistory[customer])),""),ROWS($A$15:A15)+$B$3)),INDEX(orderHistory[customer],SMALL(IF(ISNUMBER(MATCH(orderHistory[customer],$D$9,0)*MATCH(orderHistory[status],$D$11,0)*MATCH(orderHistory[order_type],$D$13,0)),MATCH(ROW(orderHistory[customer]),ROW(orderHistory[customer])),""),ROWS($A$15:A15)+$B$3))))),"")</f>
        <v>BHPC DUBAI</v>
      </c>
      <c r="M10" s="391">
        <f t="array" ref="M10">IFERROR(IF($D$9="",IF($D$11="",IF($D$13="",INDEX(orderHistory[order_no],SMALL(MATCH(ROW(orderHistory[customer]),ROW(orderHistory[customer])),ROWS($A$15:A15)+$B$3)),INDEX(orderHistory[order_no],SMALL(IF(ISNUMBER(MATCH(orderHistory[order_type],$D$13,0)),MATCH(ROW(orderHistory[customer]),ROW(orderHistory[customer])),""),ROWS($A$15:A15)+$B$3))),IF($D$13="",INDEX(orderHistory[order_no],SMALL(IF(ISNUMBER(MATCH(orderHistory[status],$D$11,0)),MATCH(ROW(orderHistory[customer]),ROW(orderHistory[customer])),""),ROWS($A$15:A15)+$B$3)),INDEX(orderHistory[order_no],SMALL(IF(ISNUMBER(MATCH(orderHistory[status],$D$11,0)*MATCH(orderHistory[order_type],$D$13,0)),MATCH(ROW(orderHistory[customer]),ROW(orderHistory[customer])),""),ROWS($A$15:A15)+$B$3)))),IF($D$11="",IF($D$13="",INDEX(orderHistory[order_no],SMALL(IF(ISNUMBER(MATCH(orderHistory[customer],$D$9,0)),MATCH(ROW(orderHistory[customer]),ROW(orderHistory[customer])),""),ROWS($A$15:A15)+$B$3)),INDEX(orderHistory[order_no],SMALL(IF(ISNUMBER(MATCH(orderHistory[customer],$D$9,0)*MATCH(orderHistory[order_type],$D$13,0)),MATCH(ROW(orderHistory[customer]),ROW(orderHistory[customer])),""),ROWS($A$15:A15)+$B$3))),IF($D$13="",INDEX(orderHistory[order_no],SMALL(IF(ISNUMBER(MATCH(orderHistory[customer],$D$9,0)*MATCH(orderHistory[status],$D$11,0)),MATCH(ROW(orderHistory[customer]),ROW(orderHistory[customer])),""),ROWS($A$15:A15)+$B$3)),INDEX(orderHistory[order_no],SMALL(IF(ISNUMBER(MATCH(orderHistory[customer],$D$9,0)*MATCH(orderHistory[status],$D$11,0)*MATCH(orderHistory[order_type],$D$13,0)),MATCH(ROW(orderHistory[customer]),ROW(orderHistory[customer])),""),ROWS($A$15:A15)+$B$3))))),"")</f>
        <v>53</v>
      </c>
      <c r="N10" s="386" t="str">
        <f t="array" ref="N10">IFERROR(IF($D$9="",IF($D$11="",IF($D$13="",INDEX(orderHistory[order_type],SMALL(MATCH(ROW(orderHistory[customer]),ROW(orderHistory[customer])),ROWS($A$15:A15)+$B$3)),INDEX(orderHistory[order_type],SMALL(IF(ISNUMBER(MATCH(orderHistory[order_type],$D$13,0)),MATCH(ROW(orderHistory[customer]),ROW(orderHistory[customer])),""),ROWS($A$15:A15)+$B$3))),IF($D$13="",INDEX(orderHistory[order_type],SMALL(IF(ISNUMBER(MATCH(orderHistory[status],$D$11,0)),MATCH(ROW(orderHistory[customer]),ROW(orderHistory[customer])),""),ROWS($A$15:A15)+$B$3)),INDEX(orderHistory[order_type],SMALL(IF(ISNUMBER(MATCH(orderHistory[status],$D$11,0)*MATCH(orderHistory[order_type],$D$13,0)),MATCH(ROW(orderHistory[customer]),ROW(orderHistory[customer])),""),ROWS($A$15:A15)+$B$3)))),IF($D$11="",IF($D$13="",INDEX(orderHistory[order_type],SMALL(IF(ISNUMBER(MATCH(orderHistory[customer],$D$9,0)),MATCH(ROW(orderHistory[customer]),ROW(orderHistory[customer])),""),ROWS($A$15:A15)+$B$3)),INDEX(orderHistory[order_type],SMALL(IF(ISNUMBER(MATCH(orderHistory[customer],$D$9,0)*MATCH(orderHistory[order_type],$D$13,0)),MATCH(ROW(orderHistory[customer]),ROW(orderHistory[customer])),""),ROWS($A$15:A15)+$B$3))),IF($D$13="",INDEX(orderHistory[order_type],SMALL(IF(ISNUMBER(MATCH(orderHistory[customer],$D$9,0)*MATCH(orderHistory[status],$D$11,0)),MATCH(ROW(orderHistory[customer]),ROW(orderHistory[customer])),""),ROWS($A$15:A15)+$B$3)),INDEX(orderHistory[order_type],SMALL(IF(ISNUMBER(MATCH(orderHistory[customer],$D$9,0)*MATCH(orderHistory[status],$D$11,0)*MATCH(orderHistory[order_type],$D$13,0)),MATCH(ROW(orderHistory[customer]),ROW(orderHistory[customer])),""),ROWS($A$15:A15)+$B$3))))),"")</f>
        <v>SALE</v>
      </c>
      <c r="O10" s="275">
        <f t="array" ref="O10">IFERROR(IF($D$9="",IF($D$11="",IF($D$13="",INDEX(orderHistory[order_date],SMALL(MATCH(ROW(orderHistory[customer]),ROW(orderHistory[customer])),ROWS($A$15:A15)+$B$3)),INDEX(orderHistory[order_date],SMALL(IF(ISNUMBER(MATCH(orderHistory[order_type],$D$13,0)),MATCH(ROW(orderHistory[customer]),ROW(orderHistory[customer])),""),ROWS($A$15:A15)+$B$3))),IF($D$13="",INDEX(orderHistory[order_date],SMALL(IF(ISNUMBER(MATCH(orderHistory[status],$D$11,0)),MATCH(ROW(orderHistory[customer]),ROW(orderHistory[customer])),""),ROWS($A$15:A15)+$B$3)),INDEX(orderHistory[order_date],SMALL(IF(ISNUMBER(MATCH(orderHistory[status],$D$11,0)*MATCH(orderHistory[order_type],$D$13,0)),MATCH(ROW(orderHistory[customer]),ROW(orderHistory[customer])),""),ROWS($A$15:A15)+$B$3)))),IF($D$11="",IF($D$13="",INDEX(orderHistory[order_date],SMALL(IF(ISNUMBER(MATCH(orderHistory[customer],$D$9,0)),MATCH(ROW(orderHistory[customer]),ROW(orderHistory[customer])),""),ROWS($A$15:A15)+$B$3)),INDEX(orderHistory[order_date],SMALL(IF(ISNUMBER(MATCH(orderHistory[customer],$D$9,0)*MATCH(orderHistory[order_type],$D$13,0)),MATCH(ROW(orderHistory[customer]),ROW(orderHistory[customer])),""),ROWS($A$15:A15)+$B$3))),IF($D$13="",INDEX(orderHistory[order_date],SMALL(IF(ISNUMBER(MATCH(orderHistory[customer],$D$9,0)*MATCH(orderHistory[status],$D$11,0)),MATCH(ROW(orderHistory[customer]),ROW(orderHistory[customer])),""),ROWS($A$15:A15)+$B$3)),INDEX(orderHistory[order_date],SMALL(IF(ISNUMBER(MATCH(orderHistory[customer],$D$9,0)*MATCH(orderHistory[status],$D$11,0)*MATCH(orderHistory[order_type],$D$13,0)),MATCH(ROW(orderHistory[customer]),ROW(orderHistory[customer])),""),ROWS($A$15:A15)+$B$3))))),"")</f>
        <v>45436</v>
      </c>
      <c r="P10" s="379">
        <f t="array" ref="P10">IF(IFERROR(IF($D$9="",IF($D$11="",IF($D$13="",INDEX(orderHistory[invoice_no],SMALL(MATCH(ROW(orderHistory[customer]),ROW(orderHistory[customer])),ROWS($A$15:A15)+$B$3)),INDEX(orderHistory[invoice_no],SMALL(IF(ISNUMBER(MATCH(orderHistory[order_type],$D$13,0)),MATCH(ROW(orderHistory[customer]),ROW(orderHistory[customer])),""),ROWS($A$15:A15)+$B$3))),IF($D$13="",INDEX(orderHistory[invoice_no],SMALL(IF(ISNUMBER(MATCH(orderHistory[status],$D$11,0)),MATCH(ROW(orderHistory[customer]),ROW(orderHistory[customer])),""),ROWS($A$15:A15)+$B$3)),INDEX(orderHistory[invoice_no],SMALL(IF(ISNUMBER(MATCH(orderHistory[status],$D$11,0)*MATCH(orderHistory[order_type],$D$13,0)),MATCH(ROW(orderHistory[customer]),ROW(orderHistory[customer])),""),ROWS($A$15:A15)+$B$3)))),IF($D$11="",IF($D$13="",INDEX(orderHistory[invoice_no],SMALL(IF(ISNUMBER(MATCH(orderHistory[customer],$D$9,0)),MATCH(ROW(orderHistory[customer]),ROW(orderHistory[customer])),""),ROWS($A$15:A15)+$B$3)),INDEX(orderHistory[invoice_no],SMALL(IF(ISNUMBER(MATCH(orderHistory[customer],$D$9,0)*MATCH(orderHistory[order_type],$D$13,0)),MATCH(ROW(orderHistory[customer]),ROW(orderHistory[customer])),""),ROWS($A$15:A15)+$B$3))),IF($D$13="",INDEX(orderHistory[invoice_no],SMALL(IF(ISNUMBER(MATCH(orderHistory[customer],$D$9,0)*MATCH(orderHistory[status],$D$11,0)),MATCH(ROW(orderHistory[customer]),ROW(orderHistory[customer])),""),ROWS($A$15:A15)+$B$3)),INDEX(orderHistory[invoice_no],SMALL(IF(ISNUMBER(MATCH(orderHistory[customer],$D$9,0)*MATCH(orderHistory[status],$D$11,0)*MATCH(orderHistory[order_type],$D$13,0)),MATCH(ROW(orderHistory[customer]),ROW(orderHistory[customer])),""),ROWS($A$15:A15)+$B$3))))),"")=0,"",IFERROR(IF($D$9="",IF($D$11="",IF($D$13="",INDEX(orderHistory[invoice_no],SMALL(MATCH(ROW(orderHistory[customer]),ROW(orderHistory[customer])),ROWS($A$15:A15)+$B$3)),INDEX(orderHistory[invoice_no],SMALL(IF(ISNUMBER(MATCH(orderHistory[order_type],$D$13,0)),MATCH(ROW(orderHistory[customer]),ROW(orderHistory[customer])),""),ROWS($A$15:A15)+$B$3))),IF($D$13="",INDEX(orderHistory[invoice_no],SMALL(IF(ISNUMBER(MATCH(orderHistory[status],$D$11,0)),MATCH(ROW(orderHistory[customer]),ROW(orderHistory[customer])),""),ROWS($A$15:A15)+$B$3)),INDEX(orderHistory[invoice_no],SMALL(IF(ISNUMBER(MATCH(orderHistory[status],$D$11,0)*MATCH(orderHistory[order_type],$D$13,0)),MATCH(ROW(orderHistory[customer]),ROW(orderHistory[customer])),""),ROWS($A$15:A15)+$B$3)))),IF($D$11="",IF($D$13="",INDEX(orderHistory[invoice_no],SMALL(IF(ISNUMBER(MATCH(orderHistory[customer],$D$9,0)),MATCH(ROW(orderHistory[customer]),ROW(orderHistory[customer])),""),ROWS($A$15:A15)+$B$3)),INDEX(orderHistory[invoice_no],SMALL(IF(ISNUMBER(MATCH(orderHistory[customer],$D$9,0)*MATCH(orderHistory[order_type],$D$13,0)),MATCH(ROW(orderHistory[customer]),ROW(orderHistory[customer])),""),ROWS($A$15:A15)+$B$3))),IF($D$13="",INDEX(orderHistory[invoice_no],SMALL(IF(ISNUMBER(MATCH(orderHistory[customer],$D$9,0)*MATCH(orderHistory[status],$D$11,0)),MATCH(ROW(orderHistory[customer]),ROW(orderHistory[customer])),""),ROWS($A$15:A15)+$B$3)),INDEX(orderHistory[invoice_no],SMALL(IF(ISNUMBER(MATCH(orderHistory[customer],$D$9,0)*MATCH(orderHistory[status],$D$11,0)*MATCH(orderHistory[order_type],$D$13,0)),MATCH(ROW(orderHistory[customer]),ROW(orderHistory[customer])),""),ROWS($A$15:A15)+$B$3))))),""))</f>
        <v>175</v>
      </c>
      <c r="Q10" s="275">
        <f t="array" ref="Q10">IF(IFERROR(IF($D$9="",IF($D$11="",IF($D$13="",INDEX(orderHistory[invoice_date],SMALL(MATCH(ROW(orderHistory[customer]),ROW(orderHistory[customer])),ROWS($A$15:A15)+$B$3)),INDEX(orderHistory[invoice_date],SMALL(IF(ISNUMBER(MATCH(orderHistory[order_type],$D$13,0)),MATCH(ROW(orderHistory[customer]),ROW(orderHistory[customer])),""),ROWS($A$15:A15)+$B$3))),IF($D$13="",INDEX(orderHistory[invoice_date],SMALL(IF(ISNUMBER(MATCH(orderHistory[status],$D$11,0)),MATCH(ROW(orderHistory[customer]),ROW(orderHistory[customer])),""),ROWS($A$15:A15)+$B$3)),INDEX(orderHistory[invoice_date],SMALL(IF(ISNUMBER(MATCH(orderHistory[status],$D$11,0)*MATCH(orderHistory[order_type],$D$13,0)),MATCH(ROW(orderHistory[customer]),ROW(orderHistory[customer])),""),ROWS($A$15:A15)+$B$3)))),IF($D$11="",IF($D$13="",INDEX(orderHistory[invoice_date],SMALL(IF(ISNUMBER(MATCH(orderHistory[customer],$D$9,0)),MATCH(ROW(orderHistory[customer]),ROW(orderHistory[customer])),""),ROWS($A$15:A15)+$B$3)),INDEX(orderHistory[invoice_date],SMALL(IF(ISNUMBER(MATCH(orderHistory[customer],$D$9,0)*MATCH(orderHistory[order_type],$D$13,0)),MATCH(ROW(orderHistory[customer]),ROW(orderHistory[customer])),""),ROWS($A$15:A15)+$B$3))),IF($D$13="",INDEX(orderHistory[invoice_date],SMALL(IF(ISNUMBER(MATCH(orderHistory[customer],$D$9,0)*MATCH(orderHistory[status],$D$11,0)),MATCH(ROW(orderHistory[customer]),ROW(orderHistory[customer])),""),ROWS($A$15:A15)+$B$3)),INDEX(orderHistory[invoice_date],SMALL(IF(ISNUMBER(MATCH(orderHistory[customer],$D$9,0)*MATCH(orderHistory[status],$D$11,0)*MATCH(orderHistory[order_type],$D$13,0)),MATCH(ROW(orderHistory[customer]),ROW(orderHistory[customer])),""),ROWS($A$15:A15)+$B$3))))),"")=0,"",IFERROR(IF($D$9="",IF($D$11="",IF($D$13="",INDEX(orderHistory[invoice_date],SMALL(MATCH(ROW(orderHistory[customer]),ROW(orderHistory[customer])),ROWS($A$15:A15)+$B$3)),INDEX(orderHistory[invoice_date],SMALL(IF(ISNUMBER(MATCH(orderHistory[order_type],$D$13,0)),MATCH(ROW(orderHistory[customer]),ROW(orderHistory[customer])),""),ROWS($A$15:A15)+$B$3))),IF($D$13="",INDEX(orderHistory[invoice_date],SMALL(IF(ISNUMBER(MATCH(orderHistory[status],$D$11,0)),MATCH(ROW(orderHistory[customer]),ROW(orderHistory[customer])),""),ROWS($A$15:A15)+$B$3)),INDEX(orderHistory[invoice_date],SMALL(IF(ISNUMBER(MATCH(orderHistory[status],$D$11,0)*MATCH(orderHistory[order_type],$D$13,0)),MATCH(ROW(orderHistory[customer]),ROW(orderHistory[customer])),""),ROWS($A$15:A15)+$B$3)))),IF($D$11="",IF($D$13="",INDEX(orderHistory[invoice_date],SMALL(IF(ISNUMBER(MATCH(orderHistory[customer],$D$9,0)),MATCH(ROW(orderHistory[customer]),ROW(orderHistory[customer])),""),ROWS($A$15:A15)+$B$3)),INDEX(orderHistory[invoice_date],SMALL(IF(ISNUMBER(MATCH(orderHistory[customer],$D$9,0)*MATCH(orderHistory[order_type],$D$13,0)),MATCH(ROW(orderHistory[customer]),ROW(orderHistory[customer])),""),ROWS($A$15:A15)+$B$3))),IF($D$13="",INDEX(orderHistory[invoice_date],SMALL(IF(ISNUMBER(MATCH(orderHistory[customer],$D$9,0)*MATCH(orderHistory[status],$D$11,0)),MATCH(ROW(orderHistory[customer]),ROW(orderHistory[customer])),""),ROWS($A$15:A15)+$B$3)),INDEX(orderHistory[invoice_date],SMALL(IF(ISNUMBER(MATCH(orderHistory[customer],$D$9,0)*MATCH(orderHistory[status],$D$11,0)*MATCH(orderHistory[order_type],$D$13,0)),MATCH(ROW(orderHistory[customer]),ROW(orderHistory[customer])),""),ROWS($A$15:A15)+$B$3))))),""))</f>
        <v>45436</v>
      </c>
      <c r="R10" s="377">
        <f t="array" ref="R10">IFERROR(IF($D$9="",IF($D$11="",IF($D$13="",INDEX(orderHistory[inv_amount],SMALL(MATCH(ROW(orderHistory[customer]),ROW(orderHistory[customer])),ROWS($A$15:A15)+$B$3)),INDEX(orderHistory[inv_amount],SMALL(IF(ISNUMBER(MATCH(orderHistory[order_type],$D$13,0)),MATCH(ROW(orderHistory[customer]),ROW(orderHistory[customer])),""),ROWS($A$15:A15)+$B$3))),IF($D$13="",INDEX(orderHistory[inv_amount],SMALL(IF(ISNUMBER(MATCH(orderHistory[status],$D$11,0)),MATCH(ROW(orderHistory[customer]),ROW(orderHistory[customer])),""),ROWS($A$15:A15)+$B$3)),INDEX(orderHistory[inv_amount],SMALL(IF(ISNUMBER(MATCH(orderHistory[status],$D$11,0)*MATCH(orderHistory[order_type],$D$13,0)),MATCH(ROW(orderHistory[customer]),ROW(orderHistory[customer])),""),ROWS($A$15:A15)+$B$3)))),IF($D$11="",IF($D$13="",INDEX(orderHistory[inv_amount],SMALL(IF(ISNUMBER(MATCH(orderHistory[customer],$D$9,0)),MATCH(ROW(orderHistory[customer]),ROW(orderHistory[customer])),""),ROWS($A$15:A15)+$B$3)),INDEX(orderHistory[inv_amount],SMALL(IF(ISNUMBER(MATCH(orderHistory[customer],$D$9,0)*MATCH(orderHistory[order_type],$D$13,0)),MATCH(ROW(orderHistory[customer]),ROW(orderHistory[customer])),""),ROWS($A$15:A15)+$B$3))),IF($D$13="",INDEX(orderHistory[inv_amount],SMALL(IF(ISNUMBER(MATCH(orderHistory[customer],$D$9,0)*MATCH(orderHistory[status],$D$11,0)),MATCH(ROW(orderHistory[customer]),ROW(orderHistory[customer])),""),ROWS($A$15:A15)+$B$3)),INDEX(orderHistory[inv_amount],SMALL(IF(ISNUMBER(MATCH(orderHistory[customer],$D$9,0)*MATCH(orderHistory[status],$D$11,0)*MATCH(orderHistory[order_type],$D$13,0)),MATCH(ROW(orderHistory[customer]),ROW(orderHistory[customer])),""),ROWS($A$15:A15)+$B$3))))),"")</f>
        <v>8409.6</v>
      </c>
      <c r="S10" s="383">
        <f>IF(R10="","",IF(N10="SUPPLY","",R10*7%))</f>
        <v>588.67200000000003</v>
      </c>
      <c r="T10" s="385" t="b">
        <f t="array" ref="T10">IFERROR(IF($D$9="",IF($D$11="",IF($D$13="",INDEX(orderHistory[payed],SMALL(MATCH(ROW(orderHistory[customer]),ROW(orderHistory[customer])),ROWS($A$15:A15)+$B$3)),INDEX(orderHistory[payed],SMALL(IF(ISNUMBER(MATCH(orderHistory[order_type],$D$13,0)),MATCH(ROW(orderHistory[customer]),ROW(orderHistory[customer])),""),ROWS($A$15:A15)+$B$3))),IF($D$13="",INDEX(orderHistory[payed],SMALL(IF(ISNUMBER(MATCH(orderHistory[status],$D$11,0)),MATCH(ROW(orderHistory[customer]),ROW(orderHistory[customer])),""),ROWS($A$15:A15)+$B$3)),INDEX(orderHistory[payed],SMALL(IF(ISNUMBER(MATCH(orderHistory[status],$D$11,0)*MATCH(orderHistory[order_type],$D$13,0)),MATCH(ROW(orderHistory[customer]),ROW(orderHistory[customer])),""),ROWS($A$15:A15)+$B$3)))),IF($D$11="",IF($D$13="",INDEX(orderHistory[payed],SMALL(IF(ISNUMBER(MATCH(orderHistory[customer],$D$9,0)),MATCH(ROW(orderHistory[customer]),ROW(orderHistory[customer])),""),ROWS($A$15:A15)+$B$3)),INDEX(orderHistory[payed],SMALL(IF(ISNUMBER(MATCH(orderHistory[customer],$D$9,0)*MATCH(orderHistory[order_type],$D$13,0)),MATCH(ROW(orderHistory[customer]),ROW(orderHistory[customer])),""),ROWS($A$15:A15)+$B$3))),IF($D$13="",INDEX(orderHistory[payed],SMALL(IF(ISNUMBER(MATCH(orderHistory[customer],$D$9,0)*MATCH(orderHistory[status],$D$11,0)),MATCH(ROW(orderHistory[customer]),ROW(orderHistory[customer])),""),ROWS($A$15:A15)+$B$3)),INDEX(orderHistory[payed],SMALL(IF(ISNUMBER(MATCH(orderHistory[customer],$D$9,0)*MATCH(orderHistory[status],$D$11,0)*MATCH(orderHistory[order_type],$D$13,0)),MATCH(ROW(orderHistory[customer]),ROW(orderHistory[customer])),""),ROWS($A$15:A15)+$B$3))))),"")</f>
        <v>0</v>
      </c>
      <c r="U10" s="386" t="str">
        <f t="array" ref="U10">IFERROR(IF($D$9="",IF($D$11="",IF($D$13="",INDEX(orderHistory[shipping_method],SMALL(MATCH(ROW(orderHistory[customer]),ROW(orderHistory[customer])),ROWS($A$15:A15)+$B$3)),INDEX(orderHistory[shipping_method],SMALL(IF(ISNUMBER(MATCH(orderHistory[order_type],$D$13,0)),MATCH(ROW(orderHistory[customer]),ROW(orderHistory[customer])),""),ROWS($A$15:A15)+$B$3))),IF($D$13="",INDEX(orderHistory[shipping_method],SMALL(IF(ISNUMBER(MATCH(orderHistory[status],$D$11,0)),MATCH(ROW(orderHistory[customer]),ROW(orderHistory[customer])),""),ROWS($A$15:A15)+$B$3)),INDEX(orderHistory[shipping_method],SMALL(IF(ISNUMBER(MATCH(orderHistory[status],$D$11,0)*MATCH(orderHistory[order_type],$D$13,0)),MATCH(ROW(orderHistory[customer]),ROW(orderHistory[customer])),""),ROWS($A$15:A15)+$B$3)))),IF($D$11="",IF($D$13="",INDEX(orderHistory[shipping_method],SMALL(IF(ISNUMBER(MATCH(orderHistory[customer],$D$9,0)),MATCH(ROW(orderHistory[customer]),ROW(orderHistory[customer])),""),ROWS($A$15:A15)+$B$3)),INDEX(orderHistory[shipping_method],SMALL(IF(ISNUMBER(MATCH(orderHistory[customer],$D$9,0)*MATCH(orderHistory[order_type],$D$13,0)),MATCH(ROW(orderHistory[customer]),ROW(orderHistory[customer])),""),ROWS($A$15:A15)+$B$3))),IF($D$13="",INDEX(orderHistory[shipping_method],SMALL(IF(ISNUMBER(MATCH(orderHistory[customer],$D$9,0)*MATCH(orderHistory[status],$D$11,0)),MATCH(ROW(orderHistory[customer]),ROW(orderHistory[customer])),""),ROWS($A$15:A15)+$B$3)),INDEX(orderHistory[shipping_method],SMALL(IF(ISNUMBER(MATCH(orderHistory[customer],$D$9,0)*MATCH(orderHistory[status],$D$11,0)*MATCH(orderHistory[order_type],$D$13,0)),MATCH(ROW(orderHistory[customer]),ROW(orderHistory[customer])),""),ROWS($A$15:A15)+$B$3))))),"")</f>
        <v>BY AIR</v>
      </c>
      <c r="V10" s="387" t="str">
        <f t="array" ref="V10">IFERROR(IF($D$9="",IF($D$11="",IF($D$13="",INDEX(orderHistory[status],SMALL(MATCH(ROW(orderHistory[customer]),ROW(orderHistory[customer])),ROWS($A$15:A15)+$B$3)),INDEX(orderHistory[status],SMALL(IF(ISNUMBER(MATCH(orderHistory[order_type],$D$13,0)),MATCH(ROW(orderHistory[customer]),ROW(orderHistory[customer])),""),ROWS($A$15:A15)+$B$3))),IF($D$13="",INDEX(orderHistory[status],SMALL(IF(ISNUMBER(MATCH(orderHistory[status],$D$11,0)),MATCH(ROW(orderHistory[customer]),ROW(orderHistory[customer])),""),ROWS($A$15:A15)+$B$3)),INDEX(orderHistory[status],SMALL(IF(ISNUMBER(MATCH(orderHistory[status],$D$11,0)*MATCH(orderHistory[order_type],$D$13,0)),MATCH(ROW(orderHistory[customer]),ROW(orderHistory[customer])),""),ROWS($A$15:A15)+$B$3)))),IF($D$11="",IF($D$13="",INDEX(orderHistory[status],SMALL(IF(ISNUMBER(MATCH(orderHistory[customer],$D$9,0)),MATCH(ROW(orderHistory[customer]),ROW(orderHistory[customer])),""),ROWS($A$15:A15)+$B$3)),INDEX(orderHistory[status],SMALL(IF(ISNUMBER(MATCH(orderHistory[customer],$D$9,0)*MATCH(orderHistory[order_type],$D$13,0)),MATCH(ROW(orderHistory[customer]),ROW(orderHistory[customer])),""),ROWS($A$15:A15)+$B$3))),IF($D$13="",INDEX(orderHistory[status],SMALL(IF(ISNUMBER(MATCH(orderHistory[customer],$D$9,0)*MATCH(orderHistory[status],$D$11,0)),MATCH(ROW(orderHistory[customer]),ROW(orderHistory[customer])),""),ROWS($A$15:A15)+$B$3)),INDEX(orderHistory[status],SMALL(IF(ISNUMBER(MATCH(orderHistory[customer],$D$9,0)*MATCH(orderHistory[status],$D$11,0)*MATCH(orderHistory[order_type],$D$13,0)),MATCH(ROW(orderHistory[customer]),ROW(orderHistory[customer])),""),ROWS($A$15:A15)+$B$3))))),"")</f>
        <v>SHIPPED</v>
      </c>
      <c r="W10" s="256"/>
      <c r="AO10" s="14" t="s">
        <v>676</v>
      </c>
      <c r="AQ10" s="125" t="s">
        <v>677</v>
      </c>
      <c r="AR10" s="376">
        <v>53</v>
      </c>
      <c r="AS10" s="262" t="s">
        <v>678</v>
      </c>
      <c r="AT10" s="587">
        <v>175</v>
      </c>
      <c r="AU10" s="121"/>
      <c r="AW10" s="125"/>
      <c r="AX10" s="162" t="s">
        <v>679</v>
      </c>
      <c r="AY10" s="120"/>
      <c r="AZ10" s="177" t="s">
        <v>680</v>
      </c>
      <c r="BA10" s="120"/>
      <c r="BB10" s="120"/>
      <c r="BC10" s="120"/>
      <c r="BD10" s="180"/>
      <c r="BE10" s="320"/>
      <c r="BF10" s="326" t="s">
        <v>1293</v>
      </c>
      <c r="BG10" s="328"/>
      <c r="BH10" s="327" t="s">
        <v>1296</v>
      </c>
      <c r="BI10" s="327"/>
      <c r="BJ10" s="321"/>
      <c r="BK10" s="329"/>
      <c r="BL10" s="144"/>
      <c r="BM10" s="145"/>
      <c r="BN10" s="144"/>
      <c r="BO10" s="145"/>
      <c r="BX10" s="14" t="s">
        <v>676</v>
      </c>
      <c r="BZ10" s="295" t="s">
        <v>134</v>
      </c>
      <c r="CA10" s="270" t="str">
        <f>IF(BZ10="","",VLOOKUP(BZ10,bhpc_data[],7,FALSE))</f>
        <v>BHPC PRESTIGE TITAN 100ML EDP MEN</v>
      </c>
      <c r="CB10" s="296">
        <v>720</v>
      </c>
      <c r="CC10" s="642">
        <v>11.68</v>
      </c>
      <c r="CD10" s="297"/>
      <c r="CE10" s="645"/>
      <c r="CF10" s="298"/>
      <c r="CG10" s="299">
        <f>IFERROR(ROUNDUP(CB10/VLOOKUP(BZ10,bhpc_data[],9,FALSE),0)+ROUNDUP(CD10/VLOOKUP(BZ10,bhpc_data[],9,FALSE),0),"")</f>
        <v>30</v>
      </c>
      <c r="CH10" s="300">
        <f>IFERROR(ROUNDUP(CD10/VLOOKUP(BZ10,bhpc_data[],9,FALSE),0),"")</f>
        <v>0</v>
      </c>
      <c r="CI10" s="300">
        <f>IFERROR(ROUNDUP(CF10/VLOOKUP(BZ10,bhpc_data[],9,FALSE),0),"")</f>
        <v>0</v>
      </c>
      <c r="CJ10" s="300">
        <f>IFERROR(((CB10+CD10+CF10)/VLOOKUP(BZ10,bhpc_data[],9,FALSE))*VLOOKUP(BZ10,bhpc_data[],17,FALSE),"")</f>
        <v>284.40000000000003</v>
      </c>
      <c r="CK10" s="300">
        <f>IFERROR(((CB10+CD10+CF10)/VLOOKUP(BZ10,bhpc_data[],9,FALSE))*VLOOKUP(BZ10,bhpc_data[],18,FALSE),"")</f>
        <v>297</v>
      </c>
      <c r="CL10" s="345">
        <f>IFERROR((CB10+CD10)/VLOOKUP(BZ10,bhpc_data[],9,FALSE)*VLOOKUP(BZ10,bhpc_data[],14,FALSE)*VLOOKUP(BZ10,bhpc_data[],15,FALSE)*VLOOKUP(BZ10,bhpc_data[],16,FALSE)/1000000000,"")</f>
        <v>0.51892499999999997</v>
      </c>
      <c r="CM10" s="408" t="str">
        <f>IFERROR(VLOOKUP(BZ10,bhpc_data[],2,FALSE),"")</f>
        <v>PRESTIGE</v>
      </c>
      <c r="CN10" s="408">
        <f>IFERROR(VLOOKUP(BZ10,bhpc_data[],19,FALSE),"")</f>
        <v>100</v>
      </c>
      <c r="CO10" s="649" t="str">
        <f>IFERROR(VLOOKUP(BZ10,bhpc_data[],6,FALSE),"")</f>
        <v>33030010</v>
      </c>
      <c r="CP10" s="650">
        <f>IFERROR(VLOOKUP(BZ10,inventory[],4,FALSE),"")</f>
        <v>5724</v>
      </c>
      <c r="CQ10" s="651">
        <f>IFERROR(IF(BZ10="","",IF($BX$15="SALE",VLOOKUP(BZ10,inventory[],5,FALSE),IF($BX$15="SAMPLING",VLOOKUP(BZ10,inventory[],5,FALSE),""))),"")</f>
        <v>11.68</v>
      </c>
      <c r="CR10" s="652">
        <f>IFERROR(IF(BZ10="","",(CB10+CD10+CF10)*CQ10),"")</f>
        <v>8409.6</v>
      </c>
      <c r="CS10" s="557">
        <f>IF(BZ10="","",CB10*CC10+CD10*CE10)</f>
        <v>8409.6</v>
      </c>
      <c r="CU10" s="125"/>
      <c r="CV10" s="134" t="s">
        <v>681</v>
      </c>
      <c r="CW10" s="613">
        <f>COUNTA($BZ$10:$BZ$110)</f>
        <v>1</v>
      </c>
      <c r="CX10" s="120"/>
      <c r="CY10" s="120"/>
      <c r="CZ10" s="121"/>
      <c r="DA10" s="540">
        <f>IFERROR(VLOOKUP(BZ10,bhpc_data[],22,FALSE),"")</f>
        <v>1</v>
      </c>
      <c r="DD10" s="14" t="s">
        <v>676</v>
      </c>
      <c r="DF10" s="131"/>
      <c r="DG10" s="120"/>
      <c r="DH10" s="162"/>
      <c r="DI10" s="120"/>
      <c r="DJ10" s="120"/>
      <c r="DK10" s="120"/>
      <c r="DL10" s="120"/>
      <c r="DM10" s="120"/>
      <c r="DN10" s="120"/>
      <c r="DO10" s="120"/>
      <c r="DP10" s="120"/>
      <c r="DQ10" s="120"/>
      <c r="DR10" s="120"/>
      <c r="DS10" s="120"/>
      <c r="DT10" s="120"/>
      <c r="DU10" s="120"/>
      <c r="DV10" s="121"/>
      <c r="EC10" s="445" t="s">
        <v>1119</v>
      </c>
      <c r="EE10" s="453" t="s">
        <v>36</v>
      </c>
      <c r="EF10" s="447" t="str">
        <f>VLOOKUP(EE10,bhpc_data[],7,FALSE)</f>
        <v>BHPC GIFT SET SPORT MEN 1 EDT 50ML + DEO 175ML</v>
      </c>
      <c r="EG10" s="555">
        <f>IFERROR(VLOOKUP(EE10,inventory[],4,FALSE),0)</f>
        <v>398</v>
      </c>
      <c r="EH10" s="555">
        <f>IFERROR(VLOOKUP(warehouse[[#This Row],[SKU]],$EQ$10:$ES$38,3,FALSE),0)</f>
        <v>0</v>
      </c>
      <c r="EI10" s="555">
        <f>IFERROR(VLOOKUP(warehouse[[#This Row],[SKU]],$EM$10:$EO$61,3,FALSE),0)</f>
        <v>3091</v>
      </c>
      <c r="EJ10" s="555">
        <f>warehouse[[#This Row],[T-1]]+warehouse[[#This Row],[SUPPLY]]-warehouse[[#This Row],[SALE + SAMPLING]]</f>
        <v>-2693</v>
      </c>
      <c r="EM10" s="74" t="s">
        <v>92</v>
      </c>
      <c r="EN10" s="74" t="s">
        <v>93</v>
      </c>
      <c r="EO10" s="431">
        <v>106</v>
      </c>
      <c r="EQ10" s="74" t="s">
        <v>180</v>
      </c>
      <c r="ER10" s="74" t="s">
        <v>181</v>
      </c>
      <c r="ES10" s="446">
        <v>4512</v>
      </c>
      <c r="FD10" s="14" t="s">
        <v>676</v>
      </c>
    </row>
    <row r="11" spans="1:702" ht="15" customHeight="1">
      <c r="B11" s="254"/>
      <c r="D11" s="266" t="s">
        <v>1258</v>
      </c>
      <c r="F11" s="154"/>
      <c r="G11" s="162" t="s">
        <v>682</v>
      </c>
      <c r="H11" s="120"/>
      <c r="I11" s="120"/>
      <c r="J11" s="121"/>
      <c r="L11" s="274" t="str">
        <f t="array" ref="L11">IFERROR(IF($D$9="",IF($D$11="",IF($D$13="",INDEX(orderHistory[customer],SMALL(MATCH(ROW(orderHistory[customer]),ROW(orderHistory[customer])),ROWS($A$15:A16)+$B$3)),INDEX(orderHistory[customer],SMALL(IF(ISNUMBER(MATCH(orderHistory[order_type],$D$13,0)),MATCH(ROW(orderHistory[customer]),ROW(orderHistory[customer])),""),ROWS($A$15:A16)+$B$3))),IF($D$13="",INDEX(orderHistory[customer],SMALL(IF(ISNUMBER(MATCH(orderHistory[status],$D$11,0)),MATCH(ROW(orderHistory[customer]),ROW(orderHistory[customer])),""),ROWS($A$15:A16)+$B$3)),INDEX(orderHistory[customer],SMALL(IF(ISNUMBER(MATCH(orderHistory[status],$D$11,0)*MATCH(orderHistory[order_type],$D$13,0)),MATCH(ROW(orderHistory[customer]),ROW(orderHistory[customer])),""),ROWS($A$15:A16)+$B$3)))),IF($D$11="",IF($D$13="",INDEX(orderHistory[customer],SMALL(IF(ISNUMBER(MATCH(orderHistory[customer],$D$9,0)),MATCH(ROW(orderHistory[customer]),ROW(orderHistory[customer])),""),ROWS($A$15:A16)+$B$3)),INDEX(orderHistory[customer],SMALL(IF(ISNUMBER(MATCH(orderHistory[customer],$D$9,0)*MATCH(orderHistory[order_type],$D$13,0)),MATCH(ROW(orderHistory[customer]),ROW(orderHistory[customer])),""),ROWS($A$15:A16)+$B$3))),IF($D$13="",INDEX(orderHistory[customer],SMALL(IF(ISNUMBER(MATCH(orderHistory[customer],$D$9,0)*MATCH(orderHistory[status],$D$11,0)),MATCH(ROW(orderHistory[customer]),ROW(orderHistory[customer])),""),ROWS($A$15:A16)+$B$3)),INDEX(orderHistory[customer],SMALL(IF(ISNUMBER(MATCH(orderHistory[customer],$D$9,0)*MATCH(orderHistory[status],$D$11,0)*MATCH(orderHistory[order_type],$D$13,0)),MATCH(ROW(orderHistory[customer]),ROW(orderHistory[customer])),""),ROWS($A$15:A16)+$B$3))))),"")</f>
        <v>LUXUM BEAUTY - HAMBURG</v>
      </c>
      <c r="M11" s="391">
        <f t="array" ref="M11">IFERROR(IF($D$9="",IF($D$11="",IF($D$13="",INDEX(orderHistory[order_no],SMALL(MATCH(ROW(orderHistory[customer]),ROW(orderHistory[customer])),ROWS($A$15:A16)+$B$3)),INDEX(orderHistory[order_no],SMALL(IF(ISNUMBER(MATCH(orderHistory[order_type],$D$13,0)),MATCH(ROW(orderHistory[customer]),ROW(orderHistory[customer])),""),ROWS($A$15:A16)+$B$3))),IF($D$13="",INDEX(orderHistory[order_no],SMALL(IF(ISNUMBER(MATCH(orderHistory[status],$D$11,0)),MATCH(ROW(orderHistory[customer]),ROW(orderHistory[customer])),""),ROWS($A$15:A16)+$B$3)),INDEX(orderHistory[order_no],SMALL(IF(ISNUMBER(MATCH(orderHistory[status],$D$11,0)*MATCH(orderHistory[order_type],$D$13,0)),MATCH(ROW(orderHistory[customer]),ROW(orderHistory[customer])),""),ROWS($A$15:A16)+$B$3)))),IF($D$11="",IF($D$13="",INDEX(orderHistory[order_no],SMALL(IF(ISNUMBER(MATCH(orderHistory[customer],$D$9,0)),MATCH(ROW(orderHistory[customer]),ROW(orderHistory[customer])),""),ROWS($A$15:A16)+$B$3)),INDEX(orderHistory[order_no],SMALL(IF(ISNUMBER(MATCH(orderHistory[customer],$D$9,0)*MATCH(orderHistory[order_type],$D$13,0)),MATCH(ROW(orderHistory[customer]),ROW(orderHistory[customer])),""),ROWS($A$15:A16)+$B$3))),IF($D$13="",INDEX(orderHistory[order_no],SMALL(IF(ISNUMBER(MATCH(orderHistory[customer],$D$9,0)*MATCH(orderHistory[status],$D$11,0)),MATCH(ROW(orderHistory[customer]),ROW(orderHistory[customer])),""),ROWS($A$15:A16)+$B$3)),INDEX(orderHistory[order_no],SMALL(IF(ISNUMBER(MATCH(orderHistory[customer],$D$9,0)*MATCH(orderHistory[status],$D$11,0)*MATCH(orderHistory[order_type],$D$13,0)),MATCH(ROW(orderHistory[customer]),ROW(orderHistory[customer])),""),ROWS($A$15:A16)+$B$3))))),"")</f>
        <v>34</v>
      </c>
      <c r="N11" s="386" t="str">
        <f t="array" ref="N11">IFERROR(IF($D$9="",IF($D$11="",IF($D$13="",INDEX(orderHistory[order_type],SMALL(MATCH(ROW(orderHistory[customer]),ROW(orderHistory[customer])),ROWS($A$15:A16)+$B$3)),INDEX(orderHistory[order_type],SMALL(IF(ISNUMBER(MATCH(orderHistory[order_type],$D$13,0)),MATCH(ROW(orderHistory[customer]),ROW(orderHistory[customer])),""),ROWS($A$15:A16)+$B$3))),IF($D$13="",INDEX(orderHistory[order_type],SMALL(IF(ISNUMBER(MATCH(orderHistory[status],$D$11,0)),MATCH(ROW(orderHistory[customer]),ROW(orderHistory[customer])),""),ROWS($A$15:A16)+$B$3)),INDEX(orderHistory[order_type],SMALL(IF(ISNUMBER(MATCH(orderHistory[status],$D$11,0)*MATCH(orderHistory[order_type],$D$13,0)),MATCH(ROW(orderHistory[customer]),ROW(orderHistory[customer])),""),ROWS($A$15:A16)+$B$3)))),IF($D$11="",IF($D$13="",INDEX(orderHistory[order_type],SMALL(IF(ISNUMBER(MATCH(orderHistory[customer],$D$9,0)),MATCH(ROW(orderHistory[customer]),ROW(orderHistory[customer])),""),ROWS($A$15:A16)+$B$3)),INDEX(orderHistory[order_type],SMALL(IF(ISNUMBER(MATCH(orderHistory[customer],$D$9,0)*MATCH(orderHistory[order_type],$D$13,0)),MATCH(ROW(orderHistory[customer]),ROW(orderHistory[customer])),""),ROWS($A$15:A16)+$B$3))),IF($D$13="",INDEX(orderHistory[order_type],SMALL(IF(ISNUMBER(MATCH(orderHistory[customer],$D$9,0)*MATCH(orderHistory[status],$D$11,0)),MATCH(ROW(orderHistory[customer]),ROW(orderHistory[customer])),""),ROWS($A$15:A16)+$B$3)),INDEX(orderHistory[order_type],SMALL(IF(ISNUMBER(MATCH(orderHistory[customer],$D$9,0)*MATCH(orderHistory[status],$D$11,0)*MATCH(orderHistory[order_type],$D$13,0)),MATCH(ROW(orderHistory[customer]),ROW(orderHistory[customer])),""),ROWS($A$15:A16)+$B$3))))),"")</f>
        <v>SALE</v>
      </c>
      <c r="O11" s="275">
        <f t="array" ref="O11">IFERROR(IF($D$9="",IF($D$11="",IF($D$13="",INDEX(orderHistory[order_date],SMALL(MATCH(ROW(orderHistory[customer]),ROW(orderHistory[customer])),ROWS($A$15:A16)+$B$3)),INDEX(orderHistory[order_date],SMALL(IF(ISNUMBER(MATCH(orderHistory[order_type],$D$13,0)),MATCH(ROW(orderHistory[customer]),ROW(orderHistory[customer])),""),ROWS($A$15:A16)+$B$3))),IF($D$13="",INDEX(orderHistory[order_date],SMALL(IF(ISNUMBER(MATCH(orderHistory[status],$D$11,0)),MATCH(ROW(orderHistory[customer]),ROW(orderHistory[customer])),""),ROWS($A$15:A16)+$B$3)),INDEX(orderHistory[order_date],SMALL(IF(ISNUMBER(MATCH(orderHistory[status],$D$11,0)*MATCH(orderHistory[order_type],$D$13,0)),MATCH(ROW(orderHistory[customer]),ROW(orderHistory[customer])),""),ROWS($A$15:A16)+$B$3)))),IF($D$11="",IF($D$13="",INDEX(orderHistory[order_date],SMALL(IF(ISNUMBER(MATCH(orderHistory[customer],$D$9,0)),MATCH(ROW(orderHistory[customer]),ROW(orderHistory[customer])),""),ROWS($A$15:A16)+$B$3)),INDEX(orderHistory[order_date],SMALL(IF(ISNUMBER(MATCH(orderHistory[customer],$D$9,0)*MATCH(orderHistory[order_type],$D$13,0)),MATCH(ROW(orderHistory[customer]),ROW(orderHistory[customer])),""),ROWS($A$15:A16)+$B$3))),IF($D$13="",INDEX(orderHistory[order_date],SMALL(IF(ISNUMBER(MATCH(orderHistory[customer],$D$9,0)*MATCH(orderHistory[status],$D$11,0)),MATCH(ROW(orderHistory[customer]),ROW(orderHistory[customer])),""),ROWS($A$15:A16)+$B$3)),INDEX(orderHistory[order_date],SMALL(IF(ISNUMBER(MATCH(orderHistory[customer],$D$9,0)*MATCH(orderHistory[status],$D$11,0)*MATCH(orderHistory[order_type],$D$13,0)),MATCH(ROW(orderHistory[customer]),ROW(orderHistory[customer])),""),ROWS($A$15:A16)+$B$3))))),"")</f>
        <v>45397</v>
      </c>
      <c r="P11" s="379">
        <f t="array" ref="P11">IF(IFERROR(IF($D$9="",IF($D$11="",IF($D$13="",INDEX(orderHistory[invoice_no],SMALL(MATCH(ROW(orderHistory[customer]),ROW(orderHistory[customer])),ROWS($A$15:A16)+$B$3)),INDEX(orderHistory[invoice_no],SMALL(IF(ISNUMBER(MATCH(orderHistory[order_type],$D$13,0)),MATCH(ROW(orderHistory[customer]),ROW(orderHistory[customer])),""),ROWS($A$15:A16)+$B$3))),IF($D$13="",INDEX(orderHistory[invoice_no],SMALL(IF(ISNUMBER(MATCH(orderHistory[status],$D$11,0)),MATCH(ROW(orderHistory[customer]),ROW(orderHistory[customer])),""),ROWS($A$15:A16)+$B$3)),INDEX(orderHistory[invoice_no],SMALL(IF(ISNUMBER(MATCH(orderHistory[status],$D$11,0)*MATCH(orderHistory[order_type],$D$13,0)),MATCH(ROW(orderHistory[customer]),ROW(orderHistory[customer])),""),ROWS($A$15:A16)+$B$3)))),IF($D$11="",IF($D$13="",INDEX(orderHistory[invoice_no],SMALL(IF(ISNUMBER(MATCH(orderHistory[customer],$D$9,0)),MATCH(ROW(orderHistory[customer]),ROW(orderHistory[customer])),""),ROWS($A$15:A16)+$B$3)),INDEX(orderHistory[invoice_no],SMALL(IF(ISNUMBER(MATCH(orderHistory[customer],$D$9,0)*MATCH(orderHistory[order_type],$D$13,0)),MATCH(ROW(orderHistory[customer]),ROW(orderHistory[customer])),""),ROWS($A$15:A16)+$B$3))),IF($D$13="",INDEX(orderHistory[invoice_no],SMALL(IF(ISNUMBER(MATCH(orderHistory[customer],$D$9,0)*MATCH(orderHistory[status],$D$11,0)),MATCH(ROW(orderHistory[customer]),ROW(orderHistory[customer])),""),ROWS($A$15:A16)+$B$3)),INDEX(orderHistory[invoice_no],SMALL(IF(ISNUMBER(MATCH(orderHistory[customer],$D$9,0)*MATCH(orderHistory[status],$D$11,0)*MATCH(orderHistory[order_type],$D$13,0)),MATCH(ROW(orderHistory[customer]),ROW(orderHistory[customer])),""),ROWS($A$15:A16)+$B$3))))),"")=0,"",IFERROR(IF($D$9="",IF($D$11="",IF($D$13="",INDEX(orderHistory[invoice_no],SMALL(MATCH(ROW(orderHistory[customer]),ROW(orderHistory[customer])),ROWS($A$15:A16)+$B$3)),INDEX(orderHistory[invoice_no],SMALL(IF(ISNUMBER(MATCH(orderHistory[order_type],$D$13,0)),MATCH(ROW(orderHistory[customer]),ROW(orderHistory[customer])),""),ROWS($A$15:A16)+$B$3))),IF($D$13="",INDEX(orderHistory[invoice_no],SMALL(IF(ISNUMBER(MATCH(orderHistory[status],$D$11,0)),MATCH(ROW(orderHistory[customer]),ROW(orderHistory[customer])),""),ROWS($A$15:A16)+$B$3)),INDEX(orderHistory[invoice_no],SMALL(IF(ISNUMBER(MATCH(orderHistory[status],$D$11,0)*MATCH(orderHistory[order_type],$D$13,0)),MATCH(ROW(orderHistory[customer]),ROW(orderHistory[customer])),""),ROWS($A$15:A16)+$B$3)))),IF($D$11="",IF($D$13="",INDEX(orderHistory[invoice_no],SMALL(IF(ISNUMBER(MATCH(orderHistory[customer],$D$9,0)),MATCH(ROW(orderHistory[customer]),ROW(orderHistory[customer])),""),ROWS($A$15:A16)+$B$3)),INDEX(orderHistory[invoice_no],SMALL(IF(ISNUMBER(MATCH(orderHistory[customer],$D$9,0)*MATCH(orderHistory[order_type],$D$13,0)),MATCH(ROW(orderHistory[customer]),ROW(orderHistory[customer])),""),ROWS($A$15:A16)+$B$3))),IF($D$13="",INDEX(orderHistory[invoice_no],SMALL(IF(ISNUMBER(MATCH(orderHistory[customer],$D$9,0)*MATCH(orderHistory[status],$D$11,0)),MATCH(ROW(orderHistory[customer]),ROW(orderHistory[customer])),""),ROWS($A$15:A16)+$B$3)),INDEX(orderHistory[invoice_no],SMALL(IF(ISNUMBER(MATCH(orderHistory[customer],$D$9,0)*MATCH(orderHistory[status],$D$11,0)*MATCH(orderHistory[order_type],$D$13,0)),MATCH(ROW(orderHistory[customer]),ROW(orderHistory[customer])),""),ROWS($A$15:A16)+$B$3))))),""))</f>
        <v>174</v>
      </c>
      <c r="Q11" s="381">
        <f t="array" ref="Q11">IF(IFERROR(IF($D$9="",IF($D$11="",IF($D$13="",INDEX(orderHistory[invoice_date],SMALL(MATCH(ROW(orderHistory[customer]),ROW(orderHistory[customer])),ROWS($A$15:A16)+$B$3)),INDEX(orderHistory[invoice_date],SMALL(IF(ISNUMBER(MATCH(orderHistory[order_type],$D$13,0)),MATCH(ROW(orderHistory[customer]),ROW(orderHistory[customer])),""),ROWS($A$15:A16)+$B$3))),IF($D$13="",INDEX(orderHistory[invoice_date],SMALL(IF(ISNUMBER(MATCH(orderHistory[status],$D$11,0)),MATCH(ROW(orderHistory[customer]),ROW(orderHistory[customer])),""),ROWS($A$15:A16)+$B$3)),INDEX(orderHistory[invoice_date],SMALL(IF(ISNUMBER(MATCH(orderHistory[status],$D$11,0)*MATCH(orderHistory[order_type],$D$13,0)),MATCH(ROW(orderHistory[customer]),ROW(orderHistory[customer])),""),ROWS($A$15:A16)+$B$3)))),IF($D$11="",IF($D$13="",INDEX(orderHistory[invoice_date],SMALL(IF(ISNUMBER(MATCH(orderHistory[customer],$D$9,0)),MATCH(ROW(orderHistory[customer]),ROW(orderHistory[customer])),""),ROWS($A$15:A16)+$B$3)),INDEX(orderHistory[invoice_date],SMALL(IF(ISNUMBER(MATCH(orderHistory[customer],$D$9,0)*MATCH(orderHistory[order_type],$D$13,0)),MATCH(ROW(orderHistory[customer]),ROW(orderHistory[customer])),""),ROWS($A$15:A16)+$B$3))),IF($D$13="",INDEX(orderHistory[invoice_date],SMALL(IF(ISNUMBER(MATCH(orderHistory[customer],$D$9,0)*MATCH(orderHistory[status],$D$11,0)),MATCH(ROW(orderHistory[customer]),ROW(orderHistory[customer])),""),ROWS($A$15:A16)+$B$3)),INDEX(orderHistory[invoice_date],SMALL(IF(ISNUMBER(MATCH(orderHistory[customer],$D$9,0)*MATCH(orderHistory[status],$D$11,0)*MATCH(orderHistory[order_type],$D$13,0)),MATCH(ROW(orderHistory[customer]),ROW(orderHistory[customer])),""),ROWS($A$15:A16)+$B$3))))),"")=0,"",IFERROR(IF($D$9="",IF($D$11="",IF($D$13="",INDEX(orderHistory[invoice_date],SMALL(MATCH(ROW(orderHistory[customer]),ROW(orderHistory[customer])),ROWS($A$15:A16)+$B$3)),INDEX(orderHistory[invoice_date],SMALL(IF(ISNUMBER(MATCH(orderHistory[order_type],$D$13,0)),MATCH(ROW(orderHistory[customer]),ROW(orderHistory[customer])),""),ROWS($A$15:A16)+$B$3))),IF($D$13="",INDEX(orderHistory[invoice_date],SMALL(IF(ISNUMBER(MATCH(orderHistory[status],$D$11,0)),MATCH(ROW(orderHistory[customer]),ROW(orderHistory[customer])),""),ROWS($A$15:A16)+$B$3)),INDEX(orderHistory[invoice_date],SMALL(IF(ISNUMBER(MATCH(orderHistory[status],$D$11,0)*MATCH(orderHistory[order_type],$D$13,0)),MATCH(ROW(orderHistory[customer]),ROW(orderHistory[customer])),""),ROWS($A$15:A16)+$B$3)))),IF($D$11="",IF($D$13="",INDEX(orderHistory[invoice_date],SMALL(IF(ISNUMBER(MATCH(orderHistory[customer],$D$9,0)),MATCH(ROW(orderHistory[customer]),ROW(orderHistory[customer])),""),ROWS($A$15:A16)+$B$3)),INDEX(orderHistory[invoice_date],SMALL(IF(ISNUMBER(MATCH(orderHistory[customer],$D$9,0)*MATCH(orderHistory[order_type],$D$13,0)),MATCH(ROW(orderHistory[customer]),ROW(orderHistory[customer])),""),ROWS($A$15:A16)+$B$3))),IF($D$13="",INDEX(orderHistory[invoice_date],SMALL(IF(ISNUMBER(MATCH(orderHistory[customer],$D$9,0)*MATCH(orderHistory[status],$D$11,0)),MATCH(ROW(orderHistory[customer]),ROW(orderHistory[customer])),""),ROWS($A$15:A16)+$B$3)),INDEX(orderHistory[invoice_date],SMALL(IF(ISNUMBER(MATCH(orderHistory[customer],$D$9,0)*MATCH(orderHistory[status],$D$11,0)*MATCH(orderHistory[order_type],$D$13,0)),MATCH(ROW(orderHistory[customer]),ROW(orderHistory[customer])),""),ROWS($A$15:A16)+$B$3))))),""))</f>
        <v>45435</v>
      </c>
      <c r="R11" s="377">
        <f t="array" ref="R11">IFERROR(IF($D$9="",IF($D$11="",IF($D$13="",INDEX(orderHistory[inv_amount],SMALL(MATCH(ROW(orderHistory[customer]),ROW(orderHistory[customer])),ROWS($A$15:A16)+$B$3)),INDEX(orderHistory[inv_amount],SMALL(IF(ISNUMBER(MATCH(orderHistory[order_type],$D$13,0)),MATCH(ROW(orderHistory[customer]),ROW(orderHistory[customer])),""),ROWS($A$15:A16)+$B$3))),IF($D$13="",INDEX(orderHistory[inv_amount],SMALL(IF(ISNUMBER(MATCH(orderHistory[status],$D$11,0)),MATCH(ROW(orderHistory[customer]),ROW(orderHistory[customer])),""),ROWS($A$15:A16)+$B$3)),INDEX(orderHistory[inv_amount],SMALL(IF(ISNUMBER(MATCH(orderHistory[status],$D$11,0)*MATCH(orderHistory[order_type],$D$13,0)),MATCH(ROW(orderHistory[customer]),ROW(orderHistory[customer])),""),ROWS($A$15:A16)+$B$3)))),IF($D$11="",IF($D$13="",INDEX(orderHistory[inv_amount],SMALL(IF(ISNUMBER(MATCH(orderHistory[customer],$D$9,0)),MATCH(ROW(orderHistory[customer]),ROW(orderHistory[customer])),""),ROWS($A$15:A16)+$B$3)),INDEX(orderHistory[inv_amount],SMALL(IF(ISNUMBER(MATCH(orderHistory[customer],$D$9,0)*MATCH(orderHistory[order_type],$D$13,0)),MATCH(ROW(orderHistory[customer]),ROW(orderHistory[customer])),""),ROWS($A$15:A16)+$B$3))),IF($D$13="",INDEX(orderHistory[inv_amount],SMALL(IF(ISNUMBER(MATCH(orderHistory[customer],$D$9,0)*MATCH(orderHistory[status],$D$11,0)),MATCH(ROW(orderHistory[customer]),ROW(orderHistory[customer])),""),ROWS($A$15:A16)+$B$3)),INDEX(orderHistory[inv_amount],SMALL(IF(ISNUMBER(MATCH(orderHistory[customer],$D$9,0)*MATCH(orderHistory[status],$D$11,0)*MATCH(orderHistory[order_type],$D$13,0)),MATCH(ROW(orderHistory[customer]),ROW(orderHistory[customer])),""),ROWS($A$15:A16)+$B$3))))),"")</f>
        <v>12825</v>
      </c>
      <c r="S11" s="383">
        <f t="shared" ref="S11:S41" si="0">IF(R11="","",IF(N11="SUPPLY","",R11*7%))</f>
        <v>897.75000000000011</v>
      </c>
      <c r="T11" s="385" t="b">
        <f t="array" ref="T11">IFERROR(IF($D$9="",IF($D$11="",IF($D$13="",INDEX(orderHistory[payed],SMALL(MATCH(ROW(orderHistory[customer]),ROW(orderHistory[customer])),ROWS($A$15:A16)+$B$3)),INDEX(orderHistory[payed],SMALL(IF(ISNUMBER(MATCH(orderHistory[order_type],$D$13,0)),MATCH(ROW(orderHistory[customer]),ROW(orderHistory[customer])),""),ROWS($A$15:A16)+$B$3))),IF($D$13="",INDEX(orderHistory[payed],SMALL(IF(ISNUMBER(MATCH(orderHistory[status],$D$11,0)),MATCH(ROW(orderHistory[customer]),ROW(orderHistory[customer])),""),ROWS($A$15:A16)+$B$3)),INDEX(orderHistory[payed],SMALL(IF(ISNUMBER(MATCH(orderHistory[status],$D$11,0)*MATCH(orderHistory[order_type],$D$13,0)),MATCH(ROW(orderHistory[customer]),ROW(orderHistory[customer])),""),ROWS($A$15:A16)+$B$3)))),IF($D$11="",IF($D$13="",INDEX(orderHistory[payed],SMALL(IF(ISNUMBER(MATCH(orderHistory[customer],$D$9,0)),MATCH(ROW(orderHistory[customer]),ROW(orderHistory[customer])),""),ROWS($A$15:A16)+$B$3)),INDEX(orderHistory[payed],SMALL(IF(ISNUMBER(MATCH(orderHistory[customer],$D$9,0)*MATCH(orderHistory[order_type],$D$13,0)),MATCH(ROW(orderHistory[customer]),ROW(orderHistory[customer])),""),ROWS($A$15:A16)+$B$3))),IF($D$13="",INDEX(orderHistory[payed],SMALL(IF(ISNUMBER(MATCH(orderHistory[customer],$D$9,0)*MATCH(orderHistory[status],$D$11,0)),MATCH(ROW(orderHistory[customer]),ROW(orderHistory[customer])),""),ROWS($A$15:A16)+$B$3)),INDEX(orderHistory[payed],SMALL(IF(ISNUMBER(MATCH(orderHistory[customer],$D$9,0)*MATCH(orderHistory[status],$D$11,0)*MATCH(orderHistory[order_type],$D$13,0)),MATCH(ROW(orderHistory[customer]),ROW(orderHistory[customer])),""),ROWS($A$15:A16)+$B$3))))),"")</f>
        <v>0</v>
      </c>
      <c r="U11" s="386" t="str">
        <f t="array" ref="U11">IFERROR(IF($D$9="",IF($D$11="",IF($D$13="",INDEX(orderHistory[shipping_method],SMALL(MATCH(ROW(orderHistory[customer]),ROW(orderHistory[customer])),ROWS($A$15:A16)+$B$3)),INDEX(orderHistory[shipping_method],SMALL(IF(ISNUMBER(MATCH(orderHistory[order_type],$D$13,0)),MATCH(ROW(orderHistory[customer]),ROW(orderHistory[customer])),""),ROWS($A$15:A16)+$B$3))),IF($D$13="",INDEX(orderHistory[shipping_method],SMALL(IF(ISNUMBER(MATCH(orderHistory[status],$D$11,0)),MATCH(ROW(orderHistory[customer]),ROW(orderHistory[customer])),""),ROWS($A$15:A16)+$B$3)),INDEX(orderHistory[shipping_method],SMALL(IF(ISNUMBER(MATCH(orderHistory[status],$D$11,0)*MATCH(orderHistory[order_type],$D$13,0)),MATCH(ROW(orderHistory[customer]),ROW(orderHistory[customer])),""),ROWS($A$15:A16)+$B$3)))),IF($D$11="",IF($D$13="",INDEX(orderHistory[shipping_method],SMALL(IF(ISNUMBER(MATCH(orderHistory[customer],$D$9,0)),MATCH(ROW(orderHistory[customer]),ROW(orderHistory[customer])),""),ROWS($A$15:A16)+$B$3)),INDEX(orderHistory[shipping_method],SMALL(IF(ISNUMBER(MATCH(orderHistory[customer],$D$9,0)*MATCH(orderHistory[order_type],$D$13,0)),MATCH(ROW(orderHistory[customer]),ROW(orderHistory[customer])),""),ROWS($A$15:A16)+$B$3))),IF($D$13="",INDEX(orderHistory[shipping_method],SMALL(IF(ISNUMBER(MATCH(orderHistory[customer],$D$9,0)*MATCH(orderHistory[status],$D$11,0)),MATCH(ROW(orderHistory[customer]),ROW(orderHistory[customer])),""),ROWS($A$15:A16)+$B$3)),INDEX(orderHistory[shipping_method],SMALL(IF(ISNUMBER(MATCH(orderHistory[customer],$D$9,0)*MATCH(orderHistory[status],$D$11,0)*MATCH(orderHistory[order_type],$D$13,0)),MATCH(ROW(orderHistory[customer]),ROW(orderHistory[customer])),""),ROWS($A$15:A16)+$B$3))))),"")</f>
        <v>BY ROAD</v>
      </c>
      <c r="V11" s="387" t="str">
        <f t="array" ref="V11">IFERROR(IF($D$9="",IF($D$11="",IF($D$13="",INDEX(orderHistory[status],SMALL(MATCH(ROW(orderHistory[customer]),ROW(orderHistory[customer])),ROWS($A$15:A16)+$B$3)),INDEX(orderHistory[status],SMALL(IF(ISNUMBER(MATCH(orderHistory[order_type],$D$13,0)),MATCH(ROW(orderHistory[customer]),ROW(orderHistory[customer])),""),ROWS($A$15:A16)+$B$3))),IF($D$13="",INDEX(orderHistory[status],SMALL(IF(ISNUMBER(MATCH(orderHistory[status],$D$11,0)),MATCH(ROW(orderHistory[customer]),ROW(orderHistory[customer])),""),ROWS($A$15:A16)+$B$3)),INDEX(orderHistory[status],SMALL(IF(ISNUMBER(MATCH(orderHistory[status],$D$11,0)*MATCH(orderHistory[order_type],$D$13,0)),MATCH(ROW(orderHistory[customer]),ROW(orderHistory[customer])),""),ROWS($A$15:A16)+$B$3)))),IF($D$11="",IF($D$13="",INDEX(orderHistory[status],SMALL(IF(ISNUMBER(MATCH(orderHistory[customer],$D$9,0)),MATCH(ROW(orderHistory[customer]),ROW(orderHistory[customer])),""),ROWS($A$15:A16)+$B$3)),INDEX(orderHistory[status],SMALL(IF(ISNUMBER(MATCH(orderHistory[customer],$D$9,0)*MATCH(orderHistory[order_type],$D$13,0)),MATCH(ROW(orderHistory[customer]),ROW(orderHistory[customer])),""),ROWS($A$15:A16)+$B$3))),IF($D$13="",INDEX(orderHistory[status],SMALL(IF(ISNUMBER(MATCH(orderHistory[customer],$D$9,0)*MATCH(orderHistory[status],$D$11,0)),MATCH(ROW(orderHistory[customer]),ROW(orderHistory[customer])),""),ROWS($A$15:A16)+$B$3)),INDEX(orderHistory[status],SMALL(IF(ISNUMBER(MATCH(orderHistory[customer],$D$9,0)*MATCH(orderHistory[status],$D$11,0)*MATCH(orderHistory[order_type],$D$13,0)),MATCH(ROW(orderHistory[customer]),ROW(orderHistory[customer])),""),ROWS($A$15:A16)+$B$3))))),"")</f>
        <v>SHIPPED</v>
      </c>
      <c r="W11" s="257"/>
      <c r="AO11" s="273">
        <f>$B$4</f>
        <v>4</v>
      </c>
      <c r="AQ11" s="125" t="str">
        <f>IF($AT$13="SUPPLY","Delivery Date:","Order Date:")</f>
        <v>Order Date:</v>
      </c>
      <c r="AR11" s="986">
        <v>45436</v>
      </c>
      <c r="AS11" s="262" t="s">
        <v>683</v>
      </c>
      <c r="AT11" s="986">
        <v>45436</v>
      </c>
      <c r="AU11" s="121"/>
      <c r="AW11" s="125"/>
      <c r="AX11" s="192">
        <f>IF(AR28="80x120",$AR$29*$AZ$11,0)</f>
        <v>10</v>
      </c>
      <c r="AY11" s="120"/>
      <c r="AZ11" s="406">
        <v>10</v>
      </c>
      <c r="BA11" s="120"/>
      <c r="BB11" s="120"/>
      <c r="BC11" s="120"/>
      <c r="BD11" s="180"/>
      <c r="BE11" s="320"/>
      <c r="BF11" s="463"/>
      <c r="BG11" s="326"/>
      <c r="BH11" s="464"/>
      <c r="BI11" s="327"/>
      <c r="BJ11" s="321"/>
      <c r="BK11" s="330"/>
      <c r="BL11" s="147"/>
      <c r="BM11" s="148"/>
      <c r="BN11" s="147"/>
      <c r="BO11" s="148"/>
      <c r="BX11" s="273">
        <f>$B$4</f>
        <v>4</v>
      </c>
      <c r="BZ11" s="295"/>
      <c r="CA11" s="270" t="str">
        <f>IF(BZ11="","",VLOOKUP(BZ11,bhpc_data[],7,FALSE))</f>
        <v/>
      </c>
      <c r="CB11" s="296"/>
      <c r="CC11" s="642"/>
      <c r="CD11" s="296"/>
      <c r="CE11" s="645"/>
      <c r="CF11" s="298"/>
      <c r="CG11" s="301" t="str">
        <f>IFERROR(ROUNDUP(CB11/VLOOKUP(BZ11,bhpc_data[],9,FALSE),0)+ROUNDUP(CD11/VLOOKUP(BZ11,bhpc_data[],9,FALSE),0),"")</f>
        <v/>
      </c>
      <c r="CH11" s="302" t="str">
        <f>IFERROR(ROUNDUP(CD11/VLOOKUP(BZ11,bhpc_data[],9,FALSE),0),"")</f>
        <v/>
      </c>
      <c r="CI11" s="302" t="str">
        <f>IFERROR(ROUNDUP(CF11/VLOOKUP(BZ11,bhpc_data[],9,FALSE),0),"")</f>
        <v/>
      </c>
      <c r="CJ11" s="302" t="str">
        <f>IFERROR(((CB11+CD11+CF11)/VLOOKUP(BZ11,bhpc_data[],9,FALSE))*VLOOKUP(BZ11,bhpc_data[],17,FALSE),"")</f>
        <v/>
      </c>
      <c r="CK11" s="302" t="str">
        <f>IFERROR(((CB11+CD11+CF11)/VLOOKUP(BZ11,bhpc_data[],9,FALSE))*VLOOKUP(BZ11,bhpc_data[],18,FALSE),"")</f>
        <v/>
      </c>
      <c r="CL11" s="346" t="str">
        <f>IFERROR((CB11+CD11)/VLOOKUP(BZ11,bhpc_data[],9,FALSE)*VLOOKUP(BZ11,bhpc_data[],14,FALSE)*VLOOKUP(BZ11,bhpc_data[],15,FALSE)*VLOOKUP(BZ11,bhpc_data[],16,FALSE)/1000000000,"")</f>
        <v/>
      </c>
      <c r="CM11" s="409" t="str">
        <f>IFERROR(VLOOKUP(BZ11,bhpc_data[],2,FALSE),"")</f>
        <v/>
      </c>
      <c r="CN11" s="409" t="str">
        <f>IFERROR(VLOOKUP(BZ11,bhpc_data[],19,FALSE),"")</f>
        <v/>
      </c>
      <c r="CO11" s="653" t="str">
        <f>IFERROR(VLOOKUP(BZ11,bhpc_data[],6,FALSE),"")</f>
        <v/>
      </c>
      <c r="CP11" s="654" t="str">
        <f>IFERROR(VLOOKUP(BZ11,inventory[],4,FALSE),"")</f>
        <v/>
      </c>
      <c r="CQ11" s="651" t="str">
        <f>IFERROR(IF(BZ11="","",IF($BX$15="SALE",VLOOKUP(BZ11,inventory[],5,FALSE),IF($BX$15="SAMPLING",VLOOKUP(BZ11,inventory[],5,FALSE),""))),"")</f>
        <v/>
      </c>
      <c r="CR11" s="652" t="str">
        <f>IFERROR(IF(BZ11="","",(CB11+CD11+CF11)*CQ11),"")</f>
        <v/>
      </c>
      <c r="CS11" s="557" t="str">
        <f>IF(BZ11="","",CB11*CC11+CD11*CE11)</f>
        <v/>
      </c>
      <c r="CU11" s="125"/>
      <c r="CV11" s="134" t="s">
        <v>1190</v>
      </c>
      <c r="CW11" s="613">
        <f>COUNTA($CB$10:$CB$110)</f>
        <v>1</v>
      </c>
      <c r="CX11" s="663" t="s">
        <v>1189</v>
      </c>
      <c r="CY11" s="617">
        <f>SUM(CS10:CS110)</f>
        <v>8409.6</v>
      </c>
      <c r="CZ11" s="121"/>
      <c r="DA11" s="540" t="str">
        <f>IFERROR(VLOOKUP(BZ11,bhpc_data[],22,FALSE),"")</f>
        <v/>
      </c>
      <c r="DD11" s="273">
        <f>$B$4</f>
        <v>4</v>
      </c>
      <c r="DF11" s="131"/>
      <c r="DG11" s="120"/>
      <c r="DH11" s="162"/>
      <c r="DI11" s="120"/>
      <c r="DJ11" s="910" t="b">
        <v>1</v>
      </c>
      <c r="DK11" s="910"/>
      <c r="DL11" s="120"/>
      <c r="DM11" s="120"/>
      <c r="DN11" s="120"/>
      <c r="DO11" s="120"/>
      <c r="DP11" s="120"/>
      <c r="DQ11" s="120"/>
      <c r="DR11" s="120"/>
      <c r="DS11" s="120"/>
      <c r="DT11" s="120"/>
      <c r="DU11" s="120"/>
      <c r="DV11" s="121"/>
      <c r="EC11" s="273"/>
      <c r="EE11" s="453" t="s">
        <v>42</v>
      </c>
      <c r="EF11" s="447" t="str">
        <f>VLOOKUP(EE11,bhpc_data[],7,FALSE)</f>
        <v>BHPC GIFT SET SPORT MEN 9 EDT 50ML + DEO 175ML</v>
      </c>
      <c r="EG11" s="555">
        <f>IFERROR(VLOOKUP(EE11,inventory[],4,FALSE),0)</f>
        <v>243</v>
      </c>
      <c r="EH11" s="555">
        <f>IFERROR(VLOOKUP(warehouse[[#This Row],[SKU]],$EQ$10:$ES$38,3,FALSE),0)</f>
        <v>0</v>
      </c>
      <c r="EI11" s="555">
        <f>IFERROR(VLOOKUP(warehouse[[#This Row],[SKU]],$EM$10:$EO$61,3,FALSE),0)</f>
        <v>1470</v>
      </c>
      <c r="EJ11" s="555">
        <f>warehouse[[#This Row],[T-1]]+warehouse[[#This Row],[SUPPLY]]-warehouse[[#This Row],[SALE + SAMPLING]]</f>
        <v>-1227</v>
      </c>
      <c r="EM11" s="74" t="s">
        <v>94</v>
      </c>
      <c r="EN11" s="74" t="s">
        <v>95</v>
      </c>
      <c r="EO11" s="431">
        <v>256</v>
      </c>
      <c r="EQ11" s="74" t="s">
        <v>182</v>
      </c>
      <c r="ER11" s="74" t="s">
        <v>183</v>
      </c>
      <c r="ES11" s="446">
        <v>4656</v>
      </c>
      <c r="FD11" s="184">
        <f>$B$4</f>
        <v>4</v>
      </c>
    </row>
    <row r="12" spans="1:702" ht="15" customHeight="1">
      <c r="B12" s="254"/>
      <c r="D12" s="18" t="s">
        <v>935</v>
      </c>
      <c r="F12" s="154"/>
      <c r="G12" s="944" t="str">
        <f>IFERROR(INDEX(clientData[country],MATCH($B$6,clientData[cod_cliente],0)),"")</f>
        <v>SPAIN</v>
      </c>
      <c r="H12" s="945"/>
      <c r="I12" s="946"/>
      <c r="J12" s="121"/>
      <c r="L12" s="274" t="str">
        <f t="array" ref="L12">IFERROR(IF($D$9="",IF($D$11="",IF($D$13="",INDEX(orderHistory[customer],SMALL(MATCH(ROW(orderHistory[customer]),ROW(orderHistory[customer])),ROWS($A$15:A17)+$B$3)),INDEX(orderHistory[customer],SMALL(IF(ISNUMBER(MATCH(orderHistory[order_type],$D$13,0)),MATCH(ROW(orderHistory[customer]),ROW(orderHistory[customer])),""),ROWS($A$15:A17)+$B$3))),IF($D$13="",INDEX(orderHistory[customer],SMALL(IF(ISNUMBER(MATCH(orderHistory[status],$D$11,0)),MATCH(ROW(orderHistory[customer]),ROW(orderHistory[customer])),""),ROWS($A$15:A17)+$B$3)),INDEX(orderHistory[customer],SMALL(IF(ISNUMBER(MATCH(orderHistory[status],$D$11,0)*MATCH(orderHistory[order_type],$D$13,0)),MATCH(ROW(orderHistory[customer]),ROW(orderHistory[customer])),""),ROWS($A$15:A17)+$B$3)))),IF($D$11="",IF($D$13="",INDEX(orderHistory[customer],SMALL(IF(ISNUMBER(MATCH(orderHistory[customer],$D$9,0)),MATCH(ROW(orderHistory[customer]),ROW(orderHistory[customer])),""),ROWS($A$15:A17)+$B$3)),INDEX(orderHistory[customer],SMALL(IF(ISNUMBER(MATCH(orderHistory[customer],$D$9,0)*MATCH(orderHistory[order_type],$D$13,0)),MATCH(ROW(orderHistory[customer]),ROW(orderHistory[customer])),""),ROWS($A$15:A17)+$B$3))),IF($D$13="",INDEX(orderHistory[customer],SMALL(IF(ISNUMBER(MATCH(orderHistory[customer],$D$9,0)*MATCH(orderHistory[status],$D$11,0)),MATCH(ROW(orderHistory[customer]),ROW(orderHistory[customer])),""),ROWS($A$15:A17)+$B$3)),INDEX(orderHistory[customer],SMALL(IF(ISNUMBER(MATCH(orderHistory[customer],$D$9,0)*MATCH(orderHistory[status],$D$11,0)*MATCH(orderHistory[order_type],$D$13,0)),MATCH(ROW(orderHistory[customer]),ROW(orderHistory[customer])),""),ROWS($A$15:A17)+$B$3))))),"")</f>
        <v>BLUE OCEAN UK</v>
      </c>
      <c r="M12" s="391">
        <f t="array" ref="M12">IFERROR(IF($D$9="",IF($D$11="",IF($D$13="",INDEX(orderHistory[order_no],SMALL(MATCH(ROW(orderHistory[customer]),ROW(orderHistory[customer])),ROWS($A$15:A17)+$B$3)),INDEX(orderHistory[order_no],SMALL(IF(ISNUMBER(MATCH(orderHistory[order_type],$D$13,0)),MATCH(ROW(orderHistory[customer]),ROW(orderHistory[customer])),""),ROWS($A$15:A17)+$B$3))),IF($D$13="",INDEX(orderHistory[order_no],SMALL(IF(ISNUMBER(MATCH(orderHistory[status],$D$11,0)),MATCH(ROW(orderHistory[customer]),ROW(orderHistory[customer])),""),ROWS($A$15:A17)+$B$3)),INDEX(orderHistory[order_no],SMALL(IF(ISNUMBER(MATCH(orderHistory[status],$D$11,0)*MATCH(orderHistory[order_type],$D$13,0)),MATCH(ROW(orderHistory[customer]),ROW(orderHistory[customer])),""),ROWS($A$15:A17)+$B$3)))),IF($D$11="",IF($D$13="",INDEX(orderHistory[order_no],SMALL(IF(ISNUMBER(MATCH(orderHistory[customer],$D$9,0)),MATCH(ROW(orderHistory[customer]),ROW(orderHistory[customer])),""),ROWS($A$15:A17)+$B$3)),INDEX(orderHistory[order_no],SMALL(IF(ISNUMBER(MATCH(orderHistory[customer],$D$9,0)*MATCH(orderHistory[order_type],$D$13,0)),MATCH(ROW(orderHistory[customer]),ROW(orderHistory[customer])),""),ROWS($A$15:A17)+$B$3))),IF($D$13="",INDEX(orderHistory[order_no],SMALL(IF(ISNUMBER(MATCH(orderHistory[customer],$D$9,0)*MATCH(orderHistory[status],$D$11,0)),MATCH(ROW(orderHistory[customer]),ROW(orderHistory[customer])),""),ROWS($A$15:A17)+$B$3)),INDEX(orderHistory[order_no],SMALL(IF(ISNUMBER(MATCH(orderHistory[customer],$D$9,0)*MATCH(orderHistory[status],$D$11,0)*MATCH(orderHistory[order_type],$D$13,0)),MATCH(ROW(orderHistory[customer]),ROW(orderHistory[customer])),""),ROWS($A$15:A17)+$B$3))))),"")</f>
        <v>38</v>
      </c>
      <c r="N12" s="386" t="str">
        <f t="array" ref="N12">IFERROR(IF($D$9="",IF($D$11="",IF($D$13="",INDEX(orderHistory[order_type],SMALL(MATCH(ROW(orderHistory[customer]),ROW(orderHistory[customer])),ROWS($A$15:A17)+$B$3)),INDEX(orderHistory[order_type],SMALL(IF(ISNUMBER(MATCH(orderHistory[order_type],$D$13,0)),MATCH(ROW(orderHistory[customer]),ROW(orderHistory[customer])),""),ROWS($A$15:A17)+$B$3))),IF($D$13="",INDEX(orderHistory[order_type],SMALL(IF(ISNUMBER(MATCH(orderHistory[status],$D$11,0)),MATCH(ROW(orderHistory[customer]),ROW(orderHistory[customer])),""),ROWS($A$15:A17)+$B$3)),INDEX(orderHistory[order_type],SMALL(IF(ISNUMBER(MATCH(orderHistory[status],$D$11,0)*MATCH(orderHistory[order_type],$D$13,0)),MATCH(ROW(orderHistory[customer]),ROW(orderHistory[customer])),""),ROWS($A$15:A17)+$B$3)))),IF($D$11="",IF($D$13="",INDEX(orderHistory[order_type],SMALL(IF(ISNUMBER(MATCH(orderHistory[customer],$D$9,0)),MATCH(ROW(orderHistory[customer]),ROW(orderHistory[customer])),""),ROWS($A$15:A17)+$B$3)),INDEX(orderHistory[order_type],SMALL(IF(ISNUMBER(MATCH(orderHistory[customer],$D$9,0)*MATCH(orderHistory[order_type],$D$13,0)),MATCH(ROW(orderHistory[customer]),ROW(orderHistory[customer])),""),ROWS($A$15:A17)+$B$3))),IF($D$13="",INDEX(orderHistory[order_type],SMALL(IF(ISNUMBER(MATCH(orderHistory[customer],$D$9,0)*MATCH(orderHistory[status],$D$11,0)),MATCH(ROW(orderHistory[customer]),ROW(orderHistory[customer])),""),ROWS($A$15:A17)+$B$3)),INDEX(orderHistory[order_type],SMALL(IF(ISNUMBER(MATCH(orderHistory[customer],$D$9,0)*MATCH(orderHistory[status],$D$11,0)*MATCH(orderHistory[order_type],$D$13,0)),MATCH(ROW(orderHistory[customer]),ROW(orderHistory[customer])),""),ROWS($A$15:A17)+$B$3))))),"")</f>
        <v>SALE</v>
      </c>
      <c r="O12" s="275">
        <f t="array" ref="O12">IFERROR(IF($D$9="",IF($D$11="",IF($D$13="",INDEX(orderHistory[order_date],SMALL(MATCH(ROW(orderHistory[customer]),ROW(orderHistory[customer])),ROWS($A$15:A17)+$B$3)),INDEX(orderHistory[order_date],SMALL(IF(ISNUMBER(MATCH(orderHistory[order_type],$D$13,0)),MATCH(ROW(orderHistory[customer]),ROW(orderHistory[customer])),""),ROWS($A$15:A17)+$B$3))),IF($D$13="",INDEX(orderHistory[order_date],SMALL(IF(ISNUMBER(MATCH(orderHistory[status],$D$11,0)),MATCH(ROW(orderHistory[customer]),ROW(orderHistory[customer])),""),ROWS($A$15:A17)+$B$3)),INDEX(orderHistory[order_date],SMALL(IF(ISNUMBER(MATCH(orderHistory[status],$D$11,0)*MATCH(orderHistory[order_type],$D$13,0)),MATCH(ROW(orderHistory[customer]),ROW(orderHistory[customer])),""),ROWS($A$15:A17)+$B$3)))),IF($D$11="",IF($D$13="",INDEX(orderHistory[order_date],SMALL(IF(ISNUMBER(MATCH(orderHistory[customer],$D$9,0)),MATCH(ROW(orderHistory[customer]),ROW(orderHistory[customer])),""),ROWS($A$15:A17)+$B$3)),INDEX(orderHistory[order_date],SMALL(IF(ISNUMBER(MATCH(orderHistory[customer],$D$9,0)*MATCH(orderHistory[order_type],$D$13,0)),MATCH(ROW(orderHistory[customer]),ROW(orderHistory[customer])),""),ROWS($A$15:A17)+$B$3))),IF($D$13="",INDEX(orderHistory[order_date],SMALL(IF(ISNUMBER(MATCH(orderHistory[customer],$D$9,0)*MATCH(orderHistory[status],$D$11,0)),MATCH(ROW(orderHistory[customer]),ROW(orderHistory[customer])),""),ROWS($A$15:A17)+$B$3)),INDEX(orderHistory[order_date],SMALL(IF(ISNUMBER(MATCH(orderHistory[customer],$D$9,0)*MATCH(orderHistory[status],$D$11,0)*MATCH(orderHistory[order_type],$D$13,0)),MATCH(ROW(orderHistory[customer]),ROW(orderHistory[customer])),""),ROWS($A$15:A17)+$B$3))))),"")</f>
        <v>45411</v>
      </c>
      <c r="P12" s="379">
        <f t="array" ref="P12">IF(IFERROR(IF($D$9="",IF($D$11="",IF($D$13="",INDEX(orderHistory[invoice_no],SMALL(MATCH(ROW(orderHistory[customer]),ROW(orderHistory[customer])),ROWS($A$15:A17)+$B$3)),INDEX(orderHistory[invoice_no],SMALL(IF(ISNUMBER(MATCH(orderHistory[order_type],$D$13,0)),MATCH(ROW(orderHistory[customer]),ROW(orderHistory[customer])),""),ROWS($A$15:A17)+$B$3))),IF($D$13="",INDEX(orderHistory[invoice_no],SMALL(IF(ISNUMBER(MATCH(orderHistory[status],$D$11,0)),MATCH(ROW(orderHistory[customer]),ROW(orderHistory[customer])),""),ROWS($A$15:A17)+$B$3)),INDEX(orderHistory[invoice_no],SMALL(IF(ISNUMBER(MATCH(orderHistory[status],$D$11,0)*MATCH(orderHistory[order_type],$D$13,0)),MATCH(ROW(orderHistory[customer]),ROW(orderHistory[customer])),""),ROWS($A$15:A17)+$B$3)))),IF($D$11="",IF($D$13="",INDEX(orderHistory[invoice_no],SMALL(IF(ISNUMBER(MATCH(orderHistory[customer],$D$9,0)),MATCH(ROW(orderHistory[customer]),ROW(orderHistory[customer])),""),ROWS($A$15:A17)+$B$3)),INDEX(orderHistory[invoice_no],SMALL(IF(ISNUMBER(MATCH(orderHistory[customer],$D$9,0)*MATCH(orderHistory[order_type],$D$13,0)),MATCH(ROW(orderHistory[customer]),ROW(orderHistory[customer])),""),ROWS($A$15:A17)+$B$3))),IF($D$13="",INDEX(orderHistory[invoice_no],SMALL(IF(ISNUMBER(MATCH(orderHistory[customer],$D$9,0)*MATCH(orderHistory[status],$D$11,0)),MATCH(ROW(orderHistory[customer]),ROW(orderHistory[customer])),""),ROWS($A$15:A17)+$B$3)),INDEX(orderHistory[invoice_no],SMALL(IF(ISNUMBER(MATCH(orderHistory[customer],$D$9,0)*MATCH(orderHistory[status],$D$11,0)*MATCH(orderHistory[order_type],$D$13,0)),MATCH(ROW(orderHistory[customer]),ROW(orderHistory[customer])),""),ROWS($A$15:A17)+$B$3))))),"")=0,"",IFERROR(IF($D$9="",IF($D$11="",IF($D$13="",INDEX(orderHistory[invoice_no],SMALL(MATCH(ROW(orderHistory[customer]),ROW(orderHistory[customer])),ROWS($A$15:A17)+$B$3)),INDEX(orderHistory[invoice_no],SMALL(IF(ISNUMBER(MATCH(orderHistory[order_type],$D$13,0)),MATCH(ROW(orderHistory[customer]),ROW(orderHistory[customer])),""),ROWS($A$15:A17)+$B$3))),IF($D$13="",INDEX(orderHistory[invoice_no],SMALL(IF(ISNUMBER(MATCH(orderHistory[status],$D$11,0)),MATCH(ROW(orderHistory[customer]),ROW(orderHistory[customer])),""),ROWS($A$15:A17)+$B$3)),INDEX(orderHistory[invoice_no],SMALL(IF(ISNUMBER(MATCH(orderHistory[status],$D$11,0)*MATCH(orderHistory[order_type],$D$13,0)),MATCH(ROW(orderHistory[customer]),ROW(orderHistory[customer])),""),ROWS($A$15:A17)+$B$3)))),IF($D$11="",IF($D$13="",INDEX(orderHistory[invoice_no],SMALL(IF(ISNUMBER(MATCH(orderHistory[customer],$D$9,0)),MATCH(ROW(orderHistory[customer]),ROW(orderHistory[customer])),""),ROWS($A$15:A17)+$B$3)),INDEX(orderHistory[invoice_no],SMALL(IF(ISNUMBER(MATCH(orderHistory[customer],$D$9,0)*MATCH(orderHistory[order_type],$D$13,0)),MATCH(ROW(orderHistory[customer]),ROW(orderHistory[customer])),""),ROWS($A$15:A17)+$B$3))),IF($D$13="",INDEX(orderHistory[invoice_no],SMALL(IF(ISNUMBER(MATCH(orderHistory[customer],$D$9,0)*MATCH(orderHistory[status],$D$11,0)),MATCH(ROW(orderHistory[customer]),ROW(orderHistory[customer])),""),ROWS($A$15:A17)+$B$3)),INDEX(orderHistory[invoice_no],SMALL(IF(ISNUMBER(MATCH(orderHistory[customer],$D$9,0)*MATCH(orderHistory[status],$D$11,0)*MATCH(orderHistory[order_type],$D$13,0)),MATCH(ROW(orderHistory[customer]),ROW(orderHistory[customer])),""),ROWS($A$15:A17)+$B$3))))),""))</f>
        <v>173</v>
      </c>
      <c r="Q12" s="381">
        <f t="array" ref="Q12">IF(IFERROR(IF($D$9="",IF($D$11="",IF($D$13="",INDEX(orderHistory[invoice_date],SMALL(MATCH(ROW(orderHistory[customer]),ROW(orderHistory[customer])),ROWS($A$15:A17)+$B$3)),INDEX(orderHistory[invoice_date],SMALL(IF(ISNUMBER(MATCH(orderHistory[order_type],$D$13,0)),MATCH(ROW(orderHistory[customer]),ROW(orderHistory[customer])),""),ROWS($A$15:A17)+$B$3))),IF($D$13="",INDEX(orderHistory[invoice_date],SMALL(IF(ISNUMBER(MATCH(orderHistory[status],$D$11,0)),MATCH(ROW(orderHistory[customer]),ROW(orderHistory[customer])),""),ROWS($A$15:A17)+$B$3)),INDEX(orderHistory[invoice_date],SMALL(IF(ISNUMBER(MATCH(orderHistory[status],$D$11,0)*MATCH(orderHistory[order_type],$D$13,0)),MATCH(ROW(orderHistory[customer]),ROW(orderHistory[customer])),""),ROWS($A$15:A17)+$B$3)))),IF($D$11="",IF($D$13="",INDEX(orderHistory[invoice_date],SMALL(IF(ISNUMBER(MATCH(orderHistory[customer],$D$9,0)),MATCH(ROW(orderHistory[customer]),ROW(orderHistory[customer])),""),ROWS($A$15:A17)+$B$3)),INDEX(orderHistory[invoice_date],SMALL(IF(ISNUMBER(MATCH(orderHistory[customer],$D$9,0)*MATCH(orderHistory[order_type],$D$13,0)),MATCH(ROW(orderHistory[customer]),ROW(orderHistory[customer])),""),ROWS($A$15:A17)+$B$3))),IF($D$13="",INDEX(orderHistory[invoice_date],SMALL(IF(ISNUMBER(MATCH(orderHistory[customer],$D$9,0)*MATCH(orderHistory[status],$D$11,0)),MATCH(ROW(orderHistory[customer]),ROW(orderHistory[customer])),""),ROWS($A$15:A17)+$B$3)),INDEX(orderHistory[invoice_date],SMALL(IF(ISNUMBER(MATCH(orderHistory[customer],$D$9,0)*MATCH(orderHistory[status],$D$11,0)*MATCH(orderHistory[order_type],$D$13,0)),MATCH(ROW(orderHistory[customer]),ROW(orderHistory[customer])),""),ROWS($A$15:A17)+$B$3))))),"")=0,"",IFERROR(IF($D$9="",IF($D$11="",IF($D$13="",INDEX(orderHistory[invoice_date],SMALL(MATCH(ROW(orderHistory[customer]),ROW(orderHistory[customer])),ROWS($A$15:A17)+$B$3)),INDEX(orderHistory[invoice_date],SMALL(IF(ISNUMBER(MATCH(orderHistory[order_type],$D$13,0)),MATCH(ROW(orderHistory[customer]),ROW(orderHistory[customer])),""),ROWS($A$15:A17)+$B$3))),IF($D$13="",INDEX(orderHistory[invoice_date],SMALL(IF(ISNUMBER(MATCH(orderHistory[status],$D$11,0)),MATCH(ROW(orderHistory[customer]),ROW(orderHistory[customer])),""),ROWS($A$15:A17)+$B$3)),INDEX(orderHistory[invoice_date],SMALL(IF(ISNUMBER(MATCH(orderHistory[status],$D$11,0)*MATCH(orderHistory[order_type],$D$13,0)),MATCH(ROW(orderHistory[customer]),ROW(orderHistory[customer])),""),ROWS($A$15:A17)+$B$3)))),IF($D$11="",IF($D$13="",INDEX(orderHistory[invoice_date],SMALL(IF(ISNUMBER(MATCH(orderHistory[customer],$D$9,0)),MATCH(ROW(orderHistory[customer]),ROW(orderHistory[customer])),""),ROWS($A$15:A17)+$B$3)),INDEX(orderHistory[invoice_date],SMALL(IF(ISNUMBER(MATCH(orderHistory[customer],$D$9,0)*MATCH(orderHistory[order_type],$D$13,0)),MATCH(ROW(orderHistory[customer]),ROW(orderHistory[customer])),""),ROWS($A$15:A17)+$B$3))),IF($D$13="",INDEX(orderHistory[invoice_date],SMALL(IF(ISNUMBER(MATCH(orderHistory[customer],$D$9,0)*MATCH(orderHistory[status],$D$11,0)),MATCH(ROW(orderHistory[customer]),ROW(orderHistory[customer])),""),ROWS($A$15:A17)+$B$3)),INDEX(orderHistory[invoice_date],SMALL(IF(ISNUMBER(MATCH(orderHistory[customer],$D$9,0)*MATCH(orderHistory[status],$D$11,0)*MATCH(orderHistory[order_type],$D$13,0)),MATCH(ROW(orderHistory[customer]),ROW(orderHistory[customer])),""),ROWS($A$15:A17)+$B$3))))),""))</f>
        <v>45435</v>
      </c>
      <c r="R12" s="377">
        <f t="array" ref="R12">IFERROR(IF($D$9="",IF($D$11="",IF($D$13="",INDEX(orderHistory[inv_amount],SMALL(MATCH(ROW(orderHistory[customer]),ROW(orderHistory[customer])),ROWS($A$15:A17)+$B$3)),INDEX(orderHistory[inv_amount],SMALL(IF(ISNUMBER(MATCH(orderHistory[order_type],$D$13,0)),MATCH(ROW(orderHistory[customer]),ROW(orderHistory[customer])),""),ROWS($A$15:A17)+$B$3))),IF($D$13="",INDEX(orderHistory[inv_amount],SMALL(IF(ISNUMBER(MATCH(orderHistory[status],$D$11,0)),MATCH(ROW(orderHistory[customer]),ROW(orderHistory[customer])),""),ROWS($A$15:A17)+$B$3)),INDEX(orderHistory[inv_amount],SMALL(IF(ISNUMBER(MATCH(orderHistory[status],$D$11,0)*MATCH(orderHistory[order_type],$D$13,0)),MATCH(ROW(orderHistory[customer]),ROW(orderHistory[customer])),""),ROWS($A$15:A17)+$B$3)))),IF($D$11="",IF($D$13="",INDEX(orderHistory[inv_amount],SMALL(IF(ISNUMBER(MATCH(orderHistory[customer],$D$9,0)),MATCH(ROW(orderHistory[customer]),ROW(orderHistory[customer])),""),ROWS($A$15:A17)+$B$3)),INDEX(orderHistory[inv_amount],SMALL(IF(ISNUMBER(MATCH(orderHistory[customer],$D$9,0)*MATCH(orderHistory[order_type],$D$13,0)),MATCH(ROW(orderHistory[customer]),ROW(orderHistory[customer])),""),ROWS($A$15:A17)+$B$3))),IF($D$13="",INDEX(orderHistory[inv_amount],SMALL(IF(ISNUMBER(MATCH(orderHistory[customer],$D$9,0)*MATCH(orderHistory[status],$D$11,0)),MATCH(ROW(orderHistory[customer]),ROW(orderHistory[customer])),""),ROWS($A$15:A17)+$B$3)),INDEX(orderHistory[inv_amount],SMALL(IF(ISNUMBER(MATCH(orderHistory[customer],$D$9,0)*MATCH(orderHistory[status],$D$11,0)*MATCH(orderHistory[order_type],$D$13,0)),MATCH(ROW(orderHistory[customer]),ROW(orderHistory[customer])),""),ROWS($A$15:A17)+$B$3))))),"")</f>
        <v>10225.799999999999</v>
      </c>
      <c r="S12" s="383">
        <f t="shared" si="0"/>
        <v>715.80600000000004</v>
      </c>
      <c r="T12" s="385" t="b">
        <f t="array" ref="T12">IFERROR(IF($D$9="",IF($D$11="",IF($D$13="",INDEX(orderHistory[payed],SMALL(MATCH(ROW(orderHistory[customer]),ROW(orderHistory[customer])),ROWS($A$15:A17)+$B$3)),INDEX(orderHistory[payed],SMALL(IF(ISNUMBER(MATCH(orderHistory[order_type],$D$13,0)),MATCH(ROW(orderHistory[customer]),ROW(orderHistory[customer])),""),ROWS($A$15:A17)+$B$3))),IF($D$13="",INDEX(orderHistory[payed],SMALL(IF(ISNUMBER(MATCH(orderHistory[status],$D$11,0)),MATCH(ROW(orderHistory[customer]),ROW(orderHistory[customer])),""),ROWS($A$15:A17)+$B$3)),INDEX(orderHistory[payed],SMALL(IF(ISNUMBER(MATCH(orderHistory[status],$D$11,0)*MATCH(orderHistory[order_type],$D$13,0)),MATCH(ROW(orderHistory[customer]),ROW(orderHistory[customer])),""),ROWS($A$15:A17)+$B$3)))),IF($D$11="",IF($D$13="",INDEX(orderHistory[payed],SMALL(IF(ISNUMBER(MATCH(orderHistory[customer],$D$9,0)),MATCH(ROW(orderHistory[customer]),ROW(orderHistory[customer])),""),ROWS($A$15:A17)+$B$3)),INDEX(orderHistory[payed],SMALL(IF(ISNUMBER(MATCH(orderHistory[customer],$D$9,0)*MATCH(orderHistory[order_type],$D$13,0)),MATCH(ROW(orderHistory[customer]),ROW(orderHistory[customer])),""),ROWS($A$15:A17)+$B$3))),IF($D$13="",INDEX(orderHistory[payed],SMALL(IF(ISNUMBER(MATCH(orderHistory[customer],$D$9,0)*MATCH(orderHistory[status],$D$11,0)),MATCH(ROW(orderHistory[customer]),ROW(orderHistory[customer])),""),ROWS($A$15:A17)+$B$3)),INDEX(orderHistory[payed],SMALL(IF(ISNUMBER(MATCH(orderHistory[customer],$D$9,0)*MATCH(orderHistory[status],$D$11,0)*MATCH(orderHistory[order_type],$D$13,0)),MATCH(ROW(orderHistory[customer]),ROW(orderHistory[customer])),""),ROWS($A$15:A17)+$B$3))))),"")</f>
        <v>0</v>
      </c>
      <c r="U12" s="386" t="str">
        <f t="array" ref="U12">IFERROR(IF($D$9="",IF($D$11="",IF($D$13="",INDEX(orderHistory[shipping_method],SMALL(MATCH(ROW(orderHistory[customer]),ROW(orderHistory[customer])),ROWS($A$15:A17)+$B$3)),INDEX(orderHistory[shipping_method],SMALL(IF(ISNUMBER(MATCH(orderHistory[order_type],$D$13,0)),MATCH(ROW(orderHistory[customer]),ROW(orderHistory[customer])),""),ROWS($A$15:A17)+$B$3))),IF($D$13="",INDEX(orderHistory[shipping_method],SMALL(IF(ISNUMBER(MATCH(orderHistory[status],$D$11,0)),MATCH(ROW(orderHistory[customer]),ROW(orderHistory[customer])),""),ROWS($A$15:A17)+$B$3)),INDEX(orderHistory[shipping_method],SMALL(IF(ISNUMBER(MATCH(orderHistory[status],$D$11,0)*MATCH(orderHistory[order_type],$D$13,0)),MATCH(ROW(orderHistory[customer]),ROW(orderHistory[customer])),""),ROWS($A$15:A17)+$B$3)))),IF($D$11="",IF($D$13="",INDEX(orderHistory[shipping_method],SMALL(IF(ISNUMBER(MATCH(orderHistory[customer],$D$9,0)),MATCH(ROW(orderHistory[customer]),ROW(orderHistory[customer])),""),ROWS($A$15:A17)+$B$3)),INDEX(orderHistory[shipping_method],SMALL(IF(ISNUMBER(MATCH(orderHistory[customer],$D$9,0)*MATCH(orderHistory[order_type],$D$13,0)),MATCH(ROW(orderHistory[customer]),ROW(orderHistory[customer])),""),ROWS($A$15:A17)+$B$3))),IF($D$13="",INDEX(orderHistory[shipping_method],SMALL(IF(ISNUMBER(MATCH(orderHistory[customer],$D$9,0)*MATCH(orderHistory[status],$D$11,0)),MATCH(ROW(orderHistory[customer]),ROW(orderHistory[customer])),""),ROWS($A$15:A17)+$B$3)),INDEX(orderHistory[shipping_method],SMALL(IF(ISNUMBER(MATCH(orderHistory[customer],$D$9,0)*MATCH(orderHistory[status],$D$11,0)*MATCH(orderHistory[order_type],$D$13,0)),MATCH(ROW(orderHistory[customer]),ROW(orderHistory[customer])),""),ROWS($A$15:A17)+$B$3))))),"")</f>
        <v>BY ROAD</v>
      </c>
      <c r="V12" s="387" t="str">
        <f t="array" ref="V12">IFERROR(IF($D$9="",IF($D$11="",IF($D$13="",INDEX(orderHistory[status],SMALL(MATCH(ROW(orderHistory[customer]),ROW(orderHistory[customer])),ROWS($A$15:A17)+$B$3)),INDEX(orderHistory[status],SMALL(IF(ISNUMBER(MATCH(orderHistory[order_type],$D$13,0)),MATCH(ROW(orderHistory[customer]),ROW(orderHistory[customer])),""),ROWS($A$15:A17)+$B$3))),IF($D$13="",INDEX(orderHistory[status],SMALL(IF(ISNUMBER(MATCH(orderHistory[status],$D$11,0)),MATCH(ROW(orderHistory[customer]),ROW(orderHistory[customer])),""),ROWS($A$15:A17)+$B$3)),INDEX(orderHistory[status],SMALL(IF(ISNUMBER(MATCH(orderHistory[status],$D$11,0)*MATCH(orderHistory[order_type],$D$13,0)),MATCH(ROW(orderHistory[customer]),ROW(orderHistory[customer])),""),ROWS($A$15:A17)+$B$3)))),IF($D$11="",IF($D$13="",INDEX(orderHistory[status],SMALL(IF(ISNUMBER(MATCH(orderHistory[customer],$D$9,0)),MATCH(ROW(orderHistory[customer]),ROW(orderHistory[customer])),""),ROWS($A$15:A17)+$B$3)),INDEX(orderHistory[status],SMALL(IF(ISNUMBER(MATCH(orderHistory[customer],$D$9,0)*MATCH(orderHistory[order_type],$D$13,0)),MATCH(ROW(orderHistory[customer]),ROW(orderHistory[customer])),""),ROWS($A$15:A17)+$B$3))),IF($D$13="",INDEX(orderHistory[status],SMALL(IF(ISNUMBER(MATCH(orderHistory[customer],$D$9,0)*MATCH(orderHistory[status],$D$11,0)),MATCH(ROW(orderHistory[customer]),ROW(orderHistory[customer])),""),ROWS($A$15:A17)+$B$3)),INDEX(orderHistory[status],SMALL(IF(ISNUMBER(MATCH(orderHistory[customer],$D$9,0)*MATCH(orderHistory[status],$D$11,0)*MATCH(orderHistory[order_type],$D$13,0)),MATCH(ROW(orderHistory[customer]),ROW(orderHistory[customer])),""),ROWS($A$15:A17)+$B$3))))),"")</f>
        <v>SHIPPED</v>
      </c>
      <c r="W12" s="257"/>
      <c r="AO12" s="14" t="s">
        <v>685</v>
      </c>
      <c r="AQ12" s="131"/>
      <c r="AR12" s="260"/>
      <c r="AS12" s="260"/>
      <c r="AT12" s="260"/>
      <c r="AU12" s="121"/>
      <c r="AW12" s="131"/>
      <c r="AX12" s="178" t="s">
        <v>686</v>
      </c>
      <c r="AY12" s="120"/>
      <c r="AZ12" s="175" t="s">
        <v>680</v>
      </c>
      <c r="BA12" s="120"/>
      <c r="BB12" s="120"/>
      <c r="BC12" s="120"/>
      <c r="BD12" s="180"/>
      <c r="BE12" s="320"/>
      <c r="BF12" s="326" t="s">
        <v>1294</v>
      </c>
      <c r="BG12" s="326"/>
      <c r="BH12" s="326"/>
      <c r="BI12" s="327"/>
      <c r="BJ12" s="321"/>
      <c r="BK12" s="330"/>
      <c r="BL12" s="147"/>
      <c r="BM12" s="148"/>
      <c r="BN12" s="147"/>
      <c r="BO12" s="148"/>
      <c r="BX12" s="14" t="s">
        <v>685</v>
      </c>
      <c r="BZ12" s="295"/>
      <c r="CA12" s="270" t="str">
        <f>IF(BZ12="","",VLOOKUP(BZ12,bhpc_data[],7,FALSE))</f>
        <v/>
      </c>
      <c r="CB12" s="303"/>
      <c r="CC12" s="642"/>
      <c r="CD12" s="296"/>
      <c r="CE12" s="645"/>
      <c r="CF12" s="298"/>
      <c r="CG12" s="301" t="str">
        <f>IFERROR(ROUNDUP(CB12/VLOOKUP(BZ12,bhpc_data[],9,FALSE),0)+ROUNDUP(CD12/VLOOKUP(BZ12,bhpc_data[],9,FALSE),0),"")</f>
        <v/>
      </c>
      <c r="CH12" s="302" t="str">
        <f>IFERROR(ROUNDUP(CD12/VLOOKUP(BZ12,bhpc_data[],9,FALSE),0),"")</f>
        <v/>
      </c>
      <c r="CI12" s="302" t="str">
        <f>IFERROR(ROUNDUP(CF12/VLOOKUP(BZ12,bhpc_data[],9,FALSE),0),"")</f>
        <v/>
      </c>
      <c r="CJ12" s="302" t="str">
        <f>IFERROR(((CB12+CD12+CF12)/VLOOKUP(BZ12,bhpc_data[],9,FALSE))*VLOOKUP(BZ12,bhpc_data[],17,FALSE),"")</f>
        <v/>
      </c>
      <c r="CK12" s="302" t="str">
        <f>IFERROR(((CB12+CD12+CF12)/VLOOKUP(BZ12,bhpc_data[],9,FALSE))*VLOOKUP(BZ12,bhpc_data[],18,FALSE),"")</f>
        <v/>
      </c>
      <c r="CL12" s="346" t="str">
        <f>IFERROR((CB12+CD12)/VLOOKUP(BZ12,bhpc_data[],9,FALSE)*VLOOKUP(BZ12,bhpc_data[],14,FALSE)*VLOOKUP(BZ12,bhpc_data[],15,FALSE)*VLOOKUP(BZ12,bhpc_data[],16,FALSE)/1000000000,"")</f>
        <v/>
      </c>
      <c r="CM12" s="409" t="str">
        <f>IFERROR(VLOOKUP(BZ12,bhpc_data[],2,FALSE),"")</f>
        <v/>
      </c>
      <c r="CN12" s="409" t="str">
        <f>IFERROR(VLOOKUP(BZ12,bhpc_data[],19,FALSE),"")</f>
        <v/>
      </c>
      <c r="CO12" s="653" t="str">
        <f>IFERROR(VLOOKUP(BZ12,bhpc_data[],6,FALSE),"")</f>
        <v/>
      </c>
      <c r="CP12" s="654" t="str">
        <f>IFERROR(VLOOKUP(BZ12,inventory[],4,FALSE),"")</f>
        <v/>
      </c>
      <c r="CQ12" s="651" t="str">
        <f>IFERROR(IF(BZ12="","",IF($BX$15="SALE",VLOOKUP(BZ12,inventory[],5,FALSE),IF($BX$15="SAMPLING",VLOOKUP(BZ12,inventory[],5,FALSE),""))),"")</f>
        <v/>
      </c>
      <c r="CR12" s="652" t="str">
        <f>IFERROR(IF(BZ12="","",(CB12+CD12+CF12)*CQ12),"")</f>
        <v/>
      </c>
      <c r="CS12" s="557" t="str">
        <f>IF(BZ12="","",CB12*CC12+CD12*CE12)</f>
        <v/>
      </c>
      <c r="CU12" s="125"/>
      <c r="CV12" s="134" t="s">
        <v>1191</v>
      </c>
      <c r="CW12" s="613">
        <f>COUNTA($CD$10:$CD$110)</f>
        <v>0</v>
      </c>
      <c r="CX12" s="663" t="s">
        <v>684</v>
      </c>
      <c r="CY12" s="617">
        <f>SUM(CR10:CR110)</f>
        <v>8409.6</v>
      </c>
      <c r="CZ12" s="121"/>
      <c r="DA12" s="540" t="str">
        <f>IFERROR(VLOOKUP(BZ12,bhpc_data[],22,FALSE),"")</f>
        <v/>
      </c>
      <c r="DD12" s="14" t="s">
        <v>685</v>
      </c>
      <c r="DF12" s="131"/>
      <c r="DG12" s="120"/>
      <c r="DH12" s="162"/>
      <c r="DI12" s="120"/>
      <c r="DJ12" s="120" t="s">
        <v>687</v>
      </c>
      <c r="DK12" s="120"/>
      <c r="DL12" s="120"/>
      <c r="DM12" s="120"/>
      <c r="DN12" s="120"/>
      <c r="DO12" s="120"/>
      <c r="DP12" s="120"/>
      <c r="DQ12" s="120"/>
      <c r="DR12" s="120"/>
      <c r="DS12" s="120"/>
      <c r="DT12" s="120"/>
      <c r="DU12" s="120"/>
      <c r="DV12" s="121"/>
      <c r="EC12" s="445" t="s">
        <v>1120</v>
      </c>
      <c r="EE12" s="453" t="s">
        <v>44</v>
      </c>
      <c r="EF12" s="447" t="str">
        <f>VLOOKUP(EE12,bhpc_data[],7,FALSE)</f>
        <v>BHPC GIFT SET SPORT MEN 8 EDT 50ML + DEO 175ML</v>
      </c>
      <c r="EG12" s="555">
        <f>IFERROR(VLOOKUP(EE12,inventory[],4,FALSE),0)</f>
        <v>437</v>
      </c>
      <c r="EH12" s="555">
        <f>IFERROR(VLOOKUP(warehouse[[#This Row],[SKU]],$EQ$10:$ES$38,3,FALSE),0)</f>
        <v>0</v>
      </c>
      <c r="EI12" s="555">
        <f>IFERROR(VLOOKUP(warehouse[[#This Row],[SKU]],$EM$10:$EO$61,3,FALSE),0)</f>
        <v>3006</v>
      </c>
      <c r="EJ12" s="555">
        <f>warehouse[[#This Row],[T-1]]+warehouse[[#This Row],[SUPPLY]]-warehouse[[#This Row],[SALE + SAMPLING]]</f>
        <v>-2569</v>
      </c>
      <c r="EM12" s="74" t="s">
        <v>96</v>
      </c>
      <c r="EN12" s="74" t="s">
        <v>97</v>
      </c>
      <c r="EO12" s="431">
        <v>66</v>
      </c>
      <c r="EQ12" s="74" t="s">
        <v>184</v>
      </c>
      <c r="ER12" s="74" t="s">
        <v>185</v>
      </c>
      <c r="ES12" s="446">
        <v>5088</v>
      </c>
      <c r="FD12" s="14" t="s">
        <v>685</v>
      </c>
    </row>
    <row r="13" spans="1:702" ht="15" customHeight="1">
      <c r="B13" s="254"/>
      <c r="D13" s="266" t="s">
        <v>857</v>
      </c>
      <c r="F13" s="154"/>
      <c r="G13" s="162" t="s">
        <v>688</v>
      </c>
      <c r="H13" s="120"/>
      <c r="I13" s="120"/>
      <c r="J13" s="121"/>
      <c r="L13" s="274" t="str">
        <f t="array" ref="L13">IFERROR(IF($D$9="",IF($D$11="",IF($D$13="",INDEX(orderHistory[customer],SMALL(MATCH(ROW(orderHistory[customer]),ROW(orderHistory[customer])),ROWS($A$15:A18)+$B$3)),INDEX(orderHistory[customer],SMALL(IF(ISNUMBER(MATCH(orderHistory[order_type],$D$13,0)),MATCH(ROW(orderHistory[customer]),ROW(orderHistory[customer])),""),ROWS($A$15:A18)+$B$3))),IF($D$13="",INDEX(orderHistory[customer],SMALL(IF(ISNUMBER(MATCH(orderHistory[status],$D$11,0)),MATCH(ROW(orderHistory[customer]),ROW(orderHistory[customer])),""),ROWS($A$15:A18)+$B$3)),INDEX(orderHistory[customer],SMALL(IF(ISNUMBER(MATCH(orderHistory[status],$D$11,0)*MATCH(orderHistory[order_type],$D$13,0)),MATCH(ROW(orderHistory[customer]),ROW(orderHistory[customer])),""),ROWS($A$15:A18)+$B$3)))),IF($D$11="",IF($D$13="",INDEX(orderHistory[customer],SMALL(IF(ISNUMBER(MATCH(orderHistory[customer],$D$9,0)),MATCH(ROW(orderHistory[customer]),ROW(orderHistory[customer])),""),ROWS($A$15:A18)+$B$3)),INDEX(orderHistory[customer],SMALL(IF(ISNUMBER(MATCH(orderHistory[customer],$D$9,0)*MATCH(orderHistory[order_type],$D$13,0)),MATCH(ROW(orderHistory[customer]),ROW(orderHistory[customer])),""),ROWS($A$15:A18)+$B$3))),IF($D$13="",INDEX(orderHistory[customer],SMALL(IF(ISNUMBER(MATCH(orderHistory[customer],$D$9,0)*MATCH(orderHistory[status],$D$11,0)),MATCH(ROW(orderHistory[customer]),ROW(orderHistory[customer])),""),ROWS($A$15:A18)+$B$3)),INDEX(orderHistory[customer],SMALL(IF(ISNUMBER(MATCH(orderHistory[customer],$D$9,0)*MATCH(orderHistory[status],$D$11,0)*MATCH(orderHistory[order_type],$D$13,0)),MATCH(ROW(orderHistory[customer]),ROW(orderHistory[customer])),""),ROWS($A$15:A18)+$B$3))))),"")</f>
        <v>BLUE OCEAN UK</v>
      </c>
      <c r="M13" s="391">
        <f t="array" ref="M13">IFERROR(IF($D$9="",IF($D$11="",IF($D$13="",INDEX(orderHistory[order_no],SMALL(MATCH(ROW(orderHistory[customer]),ROW(orderHistory[customer])),ROWS($A$15:A18)+$B$3)),INDEX(orderHistory[order_no],SMALL(IF(ISNUMBER(MATCH(orderHistory[order_type],$D$13,0)),MATCH(ROW(orderHistory[customer]),ROW(orderHistory[customer])),""),ROWS($A$15:A18)+$B$3))),IF($D$13="",INDEX(orderHistory[order_no],SMALL(IF(ISNUMBER(MATCH(orderHistory[status],$D$11,0)),MATCH(ROW(orderHistory[customer]),ROW(orderHistory[customer])),""),ROWS($A$15:A18)+$B$3)),INDEX(orderHistory[order_no],SMALL(IF(ISNUMBER(MATCH(orderHistory[status],$D$11,0)*MATCH(orderHistory[order_type],$D$13,0)),MATCH(ROW(orderHistory[customer]),ROW(orderHistory[customer])),""),ROWS($A$15:A18)+$B$3)))),IF($D$11="",IF($D$13="",INDEX(orderHistory[order_no],SMALL(IF(ISNUMBER(MATCH(orderHistory[customer],$D$9,0)),MATCH(ROW(orderHistory[customer]),ROW(orderHistory[customer])),""),ROWS($A$15:A18)+$B$3)),INDEX(orderHistory[order_no],SMALL(IF(ISNUMBER(MATCH(orderHistory[customer],$D$9,0)*MATCH(orderHistory[order_type],$D$13,0)),MATCH(ROW(orderHistory[customer]),ROW(orderHistory[customer])),""),ROWS($A$15:A18)+$B$3))),IF($D$13="",INDEX(orderHistory[order_no],SMALL(IF(ISNUMBER(MATCH(orderHistory[customer],$D$9,0)*MATCH(orderHistory[status],$D$11,0)),MATCH(ROW(orderHistory[customer]),ROW(orderHistory[customer])),""),ROWS($A$15:A18)+$B$3)),INDEX(orderHistory[order_no],SMALL(IF(ISNUMBER(MATCH(orderHistory[customer],$D$9,0)*MATCH(orderHistory[status],$D$11,0)*MATCH(orderHistory[order_type],$D$13,0)),MATCH(ROW(orderHistory[customer]),ROW(orderHistory[customer])),""),ROWS($A$15:A18)+$B$3))))),"")</f>
        <v>41</v>
      </c>
      <c r="N13" s="386" t="str">
        <f t="array" ref="N13">IFERROR(IF($D$9="",IF($D$11="",IF($D$13="",INDEX(orderHistory[order_type],SMALL(MATCH(ROW(orderHistory[customer]),ROW(orderHistory[customer])),ROWS($A$15:A18)+$B$3)),INDEX(orderHistory[order_type],SMALL(IF(ISNUMBER(MATCH(orderHistory[order_type],$D$13,0)),MATCH(ROW(orderHistory[customer]),ROW(orderHistory[customer])),""),ROWS($A$15:A18)+$B$3))),IF($D$13="",INDEX(orderHistory[order_type],SMALL(IF(ISNUMBER(MATCH(orderHistory[status],$D$11,0)),MATCH(ROW(orderHistory[customer]),ROW(orderHistory[customer])),""),ROWS($A$15:A18)+$B$3)),INDEX(orderHistory[order_type],SMALL(IF(ISNUMBER(MATCH(orderHistory[status],$D$11,0)*MATCH(orderHistory[order_type],$D$13,0)),MATCH(ROW(orderHistory[customer]),ROW(orderHistory[customer])),""),ROWS($A$15:A18)+$B$3)))),IF($D$11="",IF($D$13="",INDEX(orderHistory[order_type],SMALL(IF(ISNUMBER(MATCH(orderHistory[customer],$D$9,0)),MATCH(ROW(orderHistory[customer]),ROW(orderHistory[customer])),""),ROWS($A$15:A18)+$B$3)),INDEX(orderHistory[order_type],SMALL(IF(ISNUMBER(MATCH(orderHistory[customer],$D$9,0)*MATCH(orderHistory[order_type],$D$13,0)),MATCH(ROW(orderHistory[customer]),ROW(orderHistory[customer])),""),ROWS($A$15:A18)+$B$3))),IF($D$13="",INDEX(orderHistory[order_type],SMALL(IF(ISNUMBER(MATCH(orderHistory[customer],$D$9,0)*MATCH(orderHistory[status],$D$11,0)),MATCH(ROW(orderHistory[customer]),ROW(orderHistory[customer])),""),ROWS($A$15:A18)+$B$3)),INDEX(orderHistory[order_type],SMALL(IF(ISNUMBER(MATCH(orderHistory[customer],$D$9,0)*MATCH(orderHistory[status],$D$11,0)*MATCH(orderHistory[order_type],$D$13,0)),MATCH(ROW(orderHistory[customer]),ROW(orderHistory[customer])),""),ROWS($A$15:A18)+$B$3))))),"")</f>
        <v>SALE</v>
      </c>
      <c r="O13" s="275">
        <f t="array" ref="O13">IFERROR(IF($D$9="",IF($D$11="",IF($D$13="",INDEX(orderHistory[order_date],SMALL(MATCH(ROW(orderHistory[customer]),ROW(orderHistory[customer])),ROWS($A$15:A18)+$B$3)),INDEX(orderHistory[order_date],SMALL(IF(ISNUMBER(MATCH(orderHistory[order_type],$D$13,0)),MATCH(ROW(orderHistory[customer]),ROW(orderHistory[customer])),""),ROWS($A$15:A18)+$B$3))),IF($D$13="",INDEX(orderHistory[order_date],SMALL(IF(ISNUMBER(MATCH(orderHistory[status],$D$11,0)),MATCH(ROW(orderHistory[customer]),ROW(orderHistory[customer])),""),ROWS($A$15:A18)+$B$3)),INDEX(orderHistory[order_date],SMALL(IF(ISNUMBER(MATCH(orderHistory[status],$D$11,0)*MATCH(orderHistory[order_type],$D$13,0)),MATCH(ROW(orderHistory[customer]),ROW(orderHistory[customer])),""),ROWS($A$15:A18)+$B$3)))),IF($D$11="",IF($D$13="",INDEX(orderHistory[order_date],SMALL(IF(ISNUMBER(MATCH(orderHistory[customer],$D$9,0)),MATCH(ROW(orderHistory[customer]),ROW(orderHistory[customer])),""),ROWS($A$15:A18)+$B$3)),INDEX(orderHistory[order_date],SMALL(IF(ISNUMBER(MATCH(orderHistory[customer],$D$9,0)*MATCH(orderHistory[order_type],$D$13,0)),MATCH(ROW(orderHistory[customer]),ROW(orderHistory[customer])),""),ROWS($A$15:A18)+$B$3))),IF($D$13="",INDEX(orderHistory[order_date],SMALL(IF(ISNUMBER(MATCH(orderHistory[customer],$D$9,0)*MATCH(orderHistory[status],$D$11,0)),MATCH(ROW(orderHistory[customer]),ROW(orderHistory[customer])),""),ROWS($A$15:A18)+$B$3)),INDEX(orderHistory[order_date],SMALL(IF(ISNUMBER(MATCH(orderHistory[customer],$D$9,0)*MATCH(orderHistory[status],$D$11,0)*MATCH(orderHistory[order_type],$D$13,0)),MATCH(ROW(orderHistory[customer]),ROW(orderHistory[customer])),""),ROWS($A$15:A18)+$B$3))))),"")</f>
        <v>45420</v>
      </c>
      <c r="P13" s="379">
        <f t="array" ref="P13">IF(IFERROR(IF($D$9="",IF($D$11="",IF($D$13="",INDEX(orderHistory[invoice_no],SMALL(MATCH(ROW(orderHistory[customer]),ROW(orderHistory[customer])),ROWS($A$15:A18)+$B$3)),INDEX(orderHistory[invoice_no],SMALL(IF(ISNUMBER(MATCH(orderHistory[order_type],$D$13,0)),MATCH(ROW(orderHistory[customer]),ROW(orderHistory[customer])),""),ROWS($A$15:A18)+$B$3))),IF($D$13="",INDEX(orderHistory[invoice_no],SMALL(IF(ISNUMBER(MATCH(orderHistory[status],$D$11,0)),MATCH(ROW(orderHistory[customer]),ROW(orderHistory[customer])),""),ROWS($A$15:A18)+$B$3)),INDEX(orderHistory[invoice_no],SMALL(IF(ISNUMBER(MATCH(orderHistory[status],$D$11,0)*MATCH(orderHistory[order_type],$D$13,0)),MATCH(ROW(orderHistory[customer]),ROW(orderHistory[customer])),""),ROWS($A$15:A18)+$B$3)))),IF($D$11="",IF($D$13="",INDEX(orderHistory[invoice_no],SMALL(IF(ISNUMBER(MATCH(orderHistory[customer],$D$9,0)),MATCH(ROW(orderHistory[customer]),ROW(orderHistory[customer])),""),ROWS($A$15:A18)+$B$3)),INDEX(orderHistory[invoice_no],SMALL(IF(ISNUMBER(MATCH(orderHistory[customer],$D$9,0)*MATCH(orderHistory[order_type],$D$13,0)),MATCH(ROW(orderHistory[customer]),ROW(orderHistory[customer])),""),ROWS($A$15:A18)+$B$3))),IF($D$13="",INDEX(orderHistory[invoice_no],SMALL(IF(ISNUMBER(MATCH(orderHistory[customer],$D$9,0)*MATCH(orderHistory[status],$D$11,0)),MATCH(ROW(orderHistory[customer]),ROW(orderHistory[customer])),""),ROWS($A$15:A18)+$B$3)),INDEX(orderHistory[invoice_no],SMALL(IF(ISNUMBER(MATCH(orderHistory[customer],$D$9,0)*MATCH(orderHistory[status],$D$11,0)*MATCH(orderHistory[order_type],$D$13,0)),MATCH(ROW(orderHistory[customer]),ROW(orderHistory[customer])),""),ROWS($A$15:A18)+$B$3))))),"")=0,"",IFERROR(IF($D$9="",IF($D$11="",IF($D$13="",INDEX(orderHistory[invoice_no],SMALL(MATCH(ROW(orderHistory[customer]),ROW(orderHistory[customer])),ROWS($A$15:A18)+$B$3)),INDEX(orderHistory[invoice_no],SMALL(IF(ISNUMBER(MATCH(orderHistory[order_type],$D$13,0)),MATCH(ROW(orderHistory[customer]),ROW(orderHistory[customer])),""),ROWS($A$15:A18)+$B$3))),IF($D$13="",INDEX(orderHistory[invoice_no],SMALL(IF(ISNUMBER(MATCH(orderHistory[status],$D$11,0)),MATCH(ROW(orderHistory[customer]),ROW(orderHistory[customer])),""),ROWS($A$15:A18)+$B$3)),INDEX(orderHistory[invoice_no],SMALL(IF(ISNUMBER(MATCH(orderHistory[status],$D$11,0)*MATCH(orderHistory[order_type],$D$13,0)),MATCH(ROW(orderHistory[customer]),ROW(orderHistory[customer])),""),ROWS($A$15:A18)+$B$3)))),IF($D$11="",IF($D$13="",INDEX(orderHistory[invoice_no],SMALL(IF(ISNUMBER(MATCH(orderHistory[customer],$D$9,0)),MATCH(ROW(orderHistory[customer]),ROW(orderHistory[customer])),""),ROWS($A$15:A18)+$B$3)),INDEX(orderHistory[invoice_no],SMALL(IF(ISNUMBER(MATCH(orderHistory[customer],$D$9,0)*MATCH(orderHistory[order_type],$D$13,0)),MATCH(ROW(orderHistory[customer]),ROW(orderHistory[customer])),""),ROWS($A$15:A18)+$B$3))),IF($D$13="",INDEX(orderHistory[invoice_no],SMALL(IF(ISNUMBER(MATCH(orderHistory[customer],$D$9,0)*MATCH(orderHistory[status],$D$11,0)),MATCH(ROW(orderHistory[customer]),ROW(orderHistory[customer])),""),ROWS($A$15:A18)+$B$3)),INDEX(orderHistory[invoice_no],SMALL(IF(ISNUMBER(MATCH(orderHistory[customer],$D$9,0)*MATCH(orderHistory[status],$D$11,0)*MATCH(orderHistory[order_type],$D$13,0)),MATCH(ROW(orderHistory[customer]),ROW(orderHistory[customer])),""),ROWS($A$15:A18)+$B$3))))),""))</f>
        <v>172</v>
      </c>
      <c r="Q13" s="381">
        <f t="array" ref="Q13">IF(IFERROR(IF($D$9="",IF($D$11="",IF($D$13="",INDEX(orderHistory[invoice_date],SMALL(MATCH(ROW(orderHistory[customer]),ROW(orderHistory[customer])),ROWS($A$15:A18)+$B$3)),INDEX(orderHistory[invoice_date],SMALL(IF(ISNUMBER(MATCH(orderHistory[order_type],$D$13,0)),MATCH(ROW(orderHistory[customer]),ROW(orderHistory[customer])),""),ROWS($A$15:A18)+$B$3))),IF($D$13="",INDEX(orderHistory[invoice_date],SMALL(IF(ISNUMBER(MATCH(orderHistory[status],$D$11,0)),MATCH(ROW(orderHistory[customer]),ROW(orderHistory[customer])),""),ROWS($A$15:A18)+$B$3)),INDEX(orderHistory[invoice_date],SMALL(IF(ISNUMBER(MATCH(orderHistory[status],$D$11,0)*MATCH(orderHistory[order_type],$D$13,0)),MATCH(ROW(orderHistory[customer]),ROW(orderHistory[customer])),""),ROWS($A$15:A18)+$B$3)))),IF($D$11="",IF($D$13="",INDEX(orderHistory[invoice_date],SMALL(IF(ISNUMBER(MATCH(orderHistory[customer],$D$9,0)),MATCH(ROW(orderHistory[customer]),ROW(orderHistory[customer])),""),ROWS($A$15:A18)+$B$3)),INDEX(orderHistory[invoice_date],SMALL(IF(ISNUMBER(MATCH(orderHistory[customer],$D$9,0)*MATCH(orderHistory[order_type],$D$13,0)),MATCH(ROW(orderHistory[customer]),ROW(orderHistory[customer])),""),ROWS($A$15:A18)+$B$3))),IF($D$13="",INDEX(orderHistory[invoice_date],SMALL(IF(ISNUMBER(MATCH(orderHistory[customer],$D$9,0)*MATCH(orderHistory[status],$D$11,0)),MATCH(ROW(orderHistory[customer]),ROW(orderHistory[customer])),""),ROWS($A$15:A18)+$B$3)),INDEX(orderHistory[invoice_date],SMALL(IF(ISNUMBER(MATCH(orderHistory[customer],$D$9,0)*MATCH(orderHistory[status],$D$11,0)*MATCH(orderHistory[order_type],$D$13,0)),MATCH(ROW(orderHistory[customer]),ROW(orderHistory[customer])),""),ROWS($A$15:A18)+$B$3))))),"")=0,"",IFERROR(IF($D$9="",IF($D$11="",IF($D$13="",INDEX(orderHistory[invoice_date],SMALL(MATCH(ROW(orderHistory[customer]),ROW(orderHistory[customer])),ROWS($A$15:A18)+$B$3)),INDEX(orderHistory[invoice_date],SMALL(IF(ISNUMBER(MATCH(orderHistory[order_type],$D$13,0)),MATCH(ROW(orderHistory[customer]),ROW(orderHistory[customer])),""),ROWS($A$15:A18)+$B$3))),IF($D$13="",INDEX(orderHistory[invoice_date],SMALL(IF(ISNUMBER(MATCH(orderHistory[status],$D$11,0)),MATCH(ROW(orderHistory[customer]),ROW(orderHistory[customer])),""),ROWS($A$15:A18)+$B$3)),INDEX(orderHistory[invoice_date],SMALL(IF(ISNUMBER(MATCH(orderHistory[status],$D$11,0)*MATCH(orderHistory[order_type],$D$13,0)),MATCH(ROW(orderHistory[customer]),ROW(orderHistory[customer])),""),ROWS($A$15:A18)+$B$3)))),IF($D$11="",IF($D$13="",INDEX(orderHistory[invoice_date],SMALL(IF(ISNUMBER(MATCH(orderHistory[customer],$D$9,0)),MATCH(ROW(orderHistory[customer]),ROW(orderHistory[customer])),""),ROWS($A$15:A18)+$B$3)),INDEX(orderHistory[invoice_date],SMALL(IF(ISNUMBER(MATCH(orderHistory[customer],$D$9,0)*MATCH(orderHistory[order_type],$D$13,0)),MATCH(ROW(orderHistory[customer]),ROW(orderHistory[customer])),""),ROWS($A$15:A18)+$B$3))),IF($D$13="",INDEX(orderHistory[invoice_date],SMALL(IF(ISNUMBER(MATCH(orderHistory[customer],$D$9,0)*MATCH(orderHistory[status],$D$11,0)),MATCH(ROW(orderHistory[customer]),ROW(orderHistory[customer])),""),ROWS($A$15:A18)+$B$3)),INDEX(orderHistory[invoice_date],SMALL(IF(ISNUMBER(MATCH(orderHistory[customer],$D$9,0)*MATCH(orderHistory[status],$D$11,0)*MATCH(orderHistory[order_type],$D$13,0)),MATCH(ROW(orderHistory[customer]),ROW(orderHistory[customer])),""),ROWS($A$15:A18)+$B$3))))),""))</f>
        <v>45435</v>
      </c>
      <c r="R13" s="377">
        <f t="array" ref="R13">IFERROR(IF($D$9="",IF($D$11="",IF($D$13="",INDEX(orderHistory[inv_amount],SMALL(MATCH(ROW(orderHistory[customer]),ROW(orderHistory[customer])),ROWS($A$15:A18)+$B$3)),INDEX(orderHistory[inv_amount],SMALL(IF(ISNUMBER(MATCH(orderHistory[order_type],$D$13,0)),MATCH(ROW(orderHistory[customer]),ROW(orderHistory[customer])),""),ROWS($A$15:A18)+$B$3))),IF($D$13="",INDEX(orderHistory[inv_amount],SMALL(IF(ISNUMBER(MATCH(orderHistory[status],$D$11,0)),MATCH(ROW(orderHistory[customer]),ROW(orderHistory[customer])),""),ROWS($A$15:A18)+$B$3)),INDEX(orderHistory[inv_amount],SMALL(IF(ISNUMBER(MATCH(orderHistory[status],$D$11,0)*MATCH(orderHistory[order_type],$D$13,0)),MATCH(ROW(orderHistory[customer]),ROW(orderHistory[customer])),""),ROWS($A$15:A18)+$B$3)))),IF($D$11="",IF($D$13="",INDEX(orderHistory[inv_amount],SMALL(IF(ISNUMBER(MATCH(orderHistory[customer],$D$9,0)),MATCH(ROW(orderHistory[customer]),ROW(orderHistory[customer])),""),ROWS($A$15:A18)+$B$3)),INDEX(orderHistory[inv_amount],SMALL(IF(ISNUMBER(MATCH(orderHistory[customer],$D$9,0)*MATCH(orderHistory[order_type],$D$13,0)),MATCH(ROW(orderHistory[customer]),ROW(orderHistory[customer])),""),ROWS($A$15:A18)+$B$3))),IF($D$13="",INDEX(orderHistory[inv_amount],SMALL(IF(ISNUMBER(MATCH(orderHistory[customer],$D$9,0)*MATCH(orderHistory[status],$D$11,0)),MATCH(ROW(orderHistory[customer]),ROW(orderHistory[customer])),""),ROWS($A$15:A18)+$B$3)),INDEX(orderHistory[inv_amount],SMALL(IF(ISNUMBER(MATCH(orderHistory[customer],$D$9,0)*MATCH(orderHistory[status],$D$11,0)*MATCH(orderHistory[order_type],$D$13,0)),MATCH(ROW(orderHistory[customer]),ROW(orderHistory[customer])),""),ROWS($A$15:A18)+$B$3))))),"")</f>
        <v>7607.8661579101845</v>
      </c>
      <c r="S13" s="383">
        <f t="shared" si="0"/>
        <v>532.550631053713</v>
      </c>
      <c r="T13" s="385" t="b">
        <f t="array" ref="T13">IFERROR(IF($D$9="",IF($D$11="",IF($D$13="",INDEX(orderHistory[payed],SMALL(MATCH(ROW(orderHistory[customer]),ROW(orderHistory[customer])),ROWS($A$15:A18)+$B$3)),INDEX(orderHistory[payed],SMALL(IF(ISNUMBER(MATCH(orderHistory[order_type],$D$13,0)),MATCH(ROW(orderHistory[customer]),ROW(orderHistory[customer])),""),ROWS($A$15:A18)+$B$3))),IF($D$13="",INDEX(orderHistory[payed],SMALL(IF(ISNUMBER(MATCH(orderHistory[status],$D$11,0)),MATCH(ROW(orderHistory[customer]),ROW(orderHistory[customer])),""),ROWS($A$15:A18)+$B$3)),INDEX(orderHistory[payed],SMALL(IF(ISNUMBER(MATCH(orderHistory[status],$D$11,0)*MATCH(orderHistory[order_type],$D$13,0)),MATCH(ROW(orderHistory[customer]),ROW(orderHistory[customer])),""),ROWS($A$15:A18)+$B$3)))),IF($D$11="",IF($D$13="",INDEX(orderHistory[payed],SMALL(IF(ISNUMBER(MATCH(orderHistory[customer],$D$9,0)),MATCH(ROW(orderHistory[customer]),ROW(orderHistory[customer])),""),ROWS($A$15:A18)+$B$3)),INDEX(orderHistory[payed],SMALL(IF(ISNUMBER(MATCH(orderHistory[customer],$D$9,0)*MATCH(orderHistory[order_type],$D$13,0)),MATCH(ROW(orderHistory[customer]),ROW(orderHistory[customer])),""),ROWS($A$15:A18)+$B$3))),IF($D$13="",INDEX(orderHistory[payed],SMALL(IF(ISNUMBER(MATCH(orderHistory[customer],$D$9,0)*MATCH(orderHistory[status],$D$11,0)),MATCH(ROW(orderHistory[customer]),ROW(orderHistory[customer])),""),ROWS($A$15:A18)+$B$3)),INDEX(orderHistory[payed],SMALL(IF(ISNUMBER(MATCH(orderHistory[customer],$D$9,0)*MATCH(orderHistory[status],$D$11,0)*MATCH(orderHistory[order_type],$D$13,0)),MATCH(ROW(orderHistory[customer]),ROW(orderHistory[customer])),""),ROWS($A$15:A18)+$B$3))))),"")</f>
        <v>0</v>
      </c>
      <c r="U13" s="386" t="str">
        <f t="array" ref="U13">IFERROR(IF($D$9="",IF($D$11="",IF($D$13="",INDEX(orderHistory[shipping_method],SMALL(MATCH(ROW(orderHistory[customer]),ROW(orderHistory[customer])),ROWS($A$15:A18)+$B$3)),INDEX(orderHistory[shipping_method],SMALL(IF(ISNUMBER(MATCH(orderHistory[order_type],$D$13,0)),MATCH(ROW(orderHistory[customer]),ROW(orderHistory[customer])),""),ROWS($A$15:A18)+$B$3))),IF($D$13="",INDEX(orderHistory[shipping_method],SMALL(IF(ISNUMBER(MATCH(orderHistory[status],$D$11,0)),MATCH(ROW(orderHistory[customer]),ROW(orderHistory[customer])),""),ROWS($A$15:A18)+$B$3)),INDEX(orderHistory[shipping_method],SMALL(IF(ISNUMBER(MATCH(orderHistory[status],$D$11,0)*MATCH(orderHistory[order_type],$D$13,0)),MATCH(ROW(orderHistory[customer]),ROW(orderHistory[customer])),""),ROWS($A$15:A18)+$B$3)))),IF($D$11="",IF($D$13="",INDEX(orderHistory[shipping_method],SMALL(IF(ISNUMBER(MATCH(orderHistory[customer],$D$9,0)),MATCH(ROW(orderHistory[customer]),ROW(orderHistory[customer])),""),ROWS($A$15:A18)+$B$3)),INDEX(orderHistory[shipping_method],SMALL(IF(ISNUMBER(MATCH(orderHistory[customer],$D$9,0)*MATCH(orderHistory[order_type],$D$13,0)),MATCH(ROW(orderHistory[customer]),ROW(orderHistory[customer])),""),ROWS($A$15:A18)+$B$3))),IF($D$13="",INDEX(orderHistory[shipping_method],SMALL(IF(ISNUMBER(MATCH(orderHistory[customer],$D$9,0)*MATCH(orderHistory[status],$D$11,0)),MATCH(ROW(orderHistory[customer]),ROW(orderHistory[customer])),""),ROWS($A$15:A18)+$B$3)),INDEX(orderHistory[shipping_method],SMALL(IF(ISNUMBER(MATCH(orderHistory[customer],$D$9,0)*MATCH(orderHistory[status],$D$11,0)*MATCH(orderHistory[order_type],$D$13,0)),MATCH(ROW(orderHistory[customer]),ROW(orderHistory[customer])),""),ROWS($A$15:A18)+$B$3))))),"")</f>
        <v>BY ROAD</v>
      </c>
      <c r="V13" s="387" t="str">
        <f t="array" ref="V13">IFERROR(IF($D$9="",IF($D$11="",IF($D$13="",INDEX(orderHistory[status],SMALL(MATCH(ROW(orderHistory[customer]),ROW(orderHistory[customer])),ROWS($A$15:A18)+$B$3)),INDEX(orderHistory[status],SMALL(IF(ISNUMBER(MATCH(orderHistory[order_type],$D$13,0)),MATCH(ROW(orderHistory[customer]),ROW(orderHistory[customer])),""),ROWS($A$15:A18)+$B$3))),IF($D$13="",INDEX(orderHistory[status],SMALL(IF(ISNUMBER(MATCH(orderHistory[status],$D$11,0)),MATCH(ROW(orderHistory[customer]),ROW(orderHistory[customer])),""),ROWS($A$15:A18)+$B$3)),INDEX(orderHistory[status],SMALL(IF(ISNUMBER(MATCH(orderHistory[status],$D$11,0)*MATCH(orderHistory[order_type],$D$13,0)),MATCH(ROW(orderHistory[customer]),ROW(orderHistory[customer])),""),ROWS($A$15:A18)+$B$3)))),IF($D$11="",IF($D$13="",INDEX(orderHistory[status],SMALL(IF(ISNUMBER(MATCH(orderHistory[customer],$D$9,0)),MATCH(ROW(orderHistory[customer]),ROW(orderHistory[customer])),""),ROWS($A$15:A18)+$B$3)),INDEX(orderHistory[status],SMALL(IF(ISNUMBER(MATCH(orderHistory[customer],$D$9,0)*MATCH(orderHistory[order_type],$D$13,0)),MATCH(ROW(orderHistory[customer]),ROW(orderHistory[customer])),""),ROWS($A$15:A18)+$B$3))),IF($D$13="",INDEX(orderHistory[status],SMALL(IF(ISNUMBER(MATCH(orderHistory[customer],$D$9,0)*MATCH(orderHistory[status],$D$11,0)),MATCH(ROW(orderHistory[customer]),ROW(orderHistory[customer])),""),ROWS($A$15:A18)+$B$3)),INDEX(orderHistory[status],SMALL(IF(ISNUMBER(MATCH(orderHistory[customer],$D$9,0)*MATCH(orderHistory[status],$D$11,0)*MATCH(orderHistory[order_type],$D$13,0)),MATCH(ROW(orderHistory[customer]),ROW(orderHistory[customer])),""),ROWS($A$15:A18)+$B$3))))),"")</f>
        <v>SHIPPED</v>
      </c>
      <c r="W13" s="257"/>
      <c r="AO13" s="272">
        <f>IF(INDEX(orderHistory[invoice_no],MATCH($AO$11,orderHistory[order_no],0))=0,"",INDEX(orderHistory[invoice_no],MATCH($AO$11,orderHistory[order_no],0)))</f>
        <v>6</v>
      </c>
      <c r="AQ13" s="125" t="s">
        <v>689</v>
      </c>
      <c r="AR13" s="683" t="s">
        <v>258</v>
      </c>
      <c r="AS13" s="262" t="s">
        <v>856</v>
      </c>
      <c r="AT13" s="683" t="s">
        <v>857</v>
      </c>
      <c r="AU13" s="121"/>
      <c r="AW13" s="131"/>
      <c r="AX13" s="192">
        <f>$AR$29*$AZ$13</f>
        <v>4</v>
      </c>
      <c r="AY13" s="120"/>
      <c r="AZ13" s="406">
        <v>4</v>
      </c>
      <c r="BA13" s="120"/>
      <c r="BB13" s="120"/>
      <c r="BC13" s="120"/>
      <c r="BD13" s="180"/>
      <c r="BE13" s="320"/>
      <c r="BF13" s="463"/>
      <c r="BG13" s="326"/>
      <c r="BH13" s="331"/>
      <c r="BI13" s="327"/>
      <c r="BJ13" s="321"/>
      <c r="BK13" s="330"/>
      <c r="BL13" s="147"/>
      <c r="BM13" s="148"/>
      <c r="BN13" s="147"/>
      <c r="BO13" s="148"/>
      <c r="BX13" s="272">
        <f>IF(BX11="","",AO13)</f>
        <v>6</v>
      </c>
      <c r="BZ13" s="295"/>
      <c r="CA13" s="270" t="str">
        <f>IF(BZ13="","",VLOOKUP(BZ13,bhpc_data[],7,FALSE))</f>
        <v/>
      </c>
      <c r="CB13" s="303"/>
      <c r="CC13" s="642"/>
      <c r="CD13" s="296"/>
      <c r="CE13" s="645"/>
      <c r="CF13" s="298"/>
      <c r="CG13" s="301" t="str">
        <f>IFERROR(ROUNDUP(CB13/VLOOKUP(BZ13,bhpc_data[],9,FALSE),0)+ROUNDUP(CD13/VLOOKUP(BZ13,bhpc_data[],9,FALSE),0),"")</f>
        <v/>
      </c>
      <c r="CH13" s="302" t="str">
        <f>IFERROR(ROUNDUP(CD13/VLOOKUP(BZ13,bhpc_data[],9,FALSE),0),"")</f>
        <v/>
      </c>
      <c r="CI13" s="302" t="str">
        <f>IFERROR(ROUNDUP(CF13/VLOOKUP(BZ13,bhpc_data[],9,FALSE),0),"")</f>
        <v/>
      </c>
      <c r="CJ13" s="302" t="str">
        <f>IFERROR(((CB13+CD13+CF13)/VLOOKUP(BZ13,bhpc_data[],9,FALSE))*VLOOKUP(BZ13,bhpc_data[],17,FALSE),"")</f>
        <v/>
      </c>
      <c r="CK13" s="302" t="str">
        <f>IFERROR(((CB13+CD13+CF13)/VLOOKUP(BZ13,bhpc_data[],9,FALSE))*VLOOKUP(BZ13,bhpc_data[],18,FALSE),"")</f>
        <v/>
      </c>
      <c r="CL13" s="346" t="str">
        <f>IFERROR((CB13+CD13)/VLOOKUP(BZ13,bhpc_data[],9,FALSE)*VLOOKUP(BZ13,bhpc_data[],14,FALSE)*VLOOKUP(BZ13,bhpc_data[],15,FALSE)*VLOOKUP(BZ13,bhpc_data[],16,FALSE)/1000000000,"")</f>
        <v/>
      </c>
      <c r="CM13" s="409" t="str">
        <f>IFERROR(VLOOKUP(BZ13,bhpc_data[],2,FALSE),"")</f>
        <v/>
      </c>
      <c r="CN13" s="409" t="str">
        <f>IFERROR(VLOOKUP(BZ13,bhpc_data[],19,FALSE),"")</f>
        <v/>
      </c>
      <c r="CO13" s="653" t="str">
        <f>IFERROR(VLOOKUP(BZ13,bhpc_data[],6,FALSE),"")</f>
        <v/>
      </c>
      <c r="CP13" s="654" t="str">
        <f>IFERROR(VLOOKUP(BZ13,inventory[],4,FALSE),"")</f>
        <v/>
      </c>
      <c r="CQ13" s="657" t="str">
        <f>IFERROR(IF(BZ13="","",IF($BX$15="SALE",VLOOKUP(BZ13,inventory[],5,FALSE),IF($BX$15="SAMPLING",VLOOKUP(BZ13,inventory[],5,FALSE),""))),"")</f>
        <v/>
      </c>
      <c r="CR13" s="652" t="str">
        <f>IFERROR(IF(BZ13="","",(CB13+CD13+CF13)*CQ13),"")</f>
        <v/>
      </c>
      <c r="CS13" s="557" t="str">
        <f>IF(BZ13="","",CB13*CC13+CD13*CE13)</f>
        <v/>
      </c>
      <c r="CU13" s="125"/>
      <c r="CV13" s="134" t="s">
        <v>1192</v>
      </c>
      <c r="CW13" s="613">
        <f>COUNTA($CF$10:$CF$110)</f>
        <v>0</v>
      </c>
      <c r="CX13" s="134"/>
      <c r="CY13" s="120"/>
      <c r="CZ13" s="121"/>
      <c r="DA13" s="540" t="str">
        <f>IFERROR(VLOOKUP(BZ13,bhpc_data[],22,FALSE),"")</f>
        <v/>
      </c>
      <c r="DD13" s="272">
        <f>INDEX(orderHistory[invoice_no],MATCH($AO$11,orderHistory[order_no],0))</f>
        <v>6</v>
      </c>
      <c r="DF13" s="131"/>
      <c r="DG13" s="120"/>
      <c r="DH13" s="162"/>
      <c r="DI13" s="120"/>
      <c r="DJ13" s="285"/>
      <c r="DK13" s="288"/>
      <c r="DL13" s="288"/>
      <c r="DM13" s="288"/>
      <c r="DN13" s="286"/>
      <c r="DO13" s="286"/>
      <c r="DP13" s="286"/>
      <c r="DQ13" s="286"/>
      <c r="DR13" s="286"/>
      <c r="DS13" s="286"/>
      <c r="DT13" s="207"/>
      <c r="DU13" s="287"/>
      <c r="DV13" s="121"/>
      <c r="EC13" s="272"/>
      <c r="EE13" s="453" t="s">
        <v>46</v>
      </c>
      <c r="EF13" s="447" t="str">
        <f>VLOOKUP(EE13,bhpc_data[],7,FALSE)</f>
        <v>BHPC GIFT SET SPORT MEN 2 EDT 50ML + DEO 175ML</v>
      </c>
      <c r="EG13" s="555">
        <f>IFERROR(VLOOKUP(EE13,inventory[],4,FALSE),0)</f>
        <v>437</v>
      </c>
      <c r="EH13" s="555">
        <f>IFERROR(VLOOKUP(warehouse[[#This Row],[SKU]],$EQ$10:$ES$38,3,FALSE),0)</f>
        <v>0</v>
      </c>
      <c r="EI13" s="555">
        <f>IFERROR(VLOOKUP(warehouse[[#This Row],[SKU]],$EM$10:$EO$61,3,FALSE),0)</f>
        <v>1566</v>
      </c>
      <c r="EJ13" s="555">
        <f>warehouse[[#This Row],[T-1]]+warehouse[[#This Row],[SUPPLY]]-warehouse[[#This Row],[SALE + SAMPLING]]</f>
        <v>-1129</v>
      </c>
      <c r="EM13" s="74" t="s">
        <v>98</v>
      </c>
      <c r="EN13" s="74" t="s">
        <v>99</v>
      </c>
      <c r="EO13" s="431">
        <v>256</v>
      </c>
      <c r="EQ13" s="74" t="s">
        <v>186</v>
      </c>
      <c r="ER13" s="74" t="s">
        <v>187</v>
      </c>
      <c r="ES13" s="446">
        <v>3504</v>
      </c>
      <c r="FD13" s="126">
        <f>INDEX(orderHistory[invoice_no],MATCH($AO$11,orderHistory[order_no],0))</f>
        <v>6</v>
      </c>
    </row>
    <row r="14" spans="1:702" ht="15" customHeight="1" thickBot="1">
      <c r="B14" s="254"/>
      <c r="D14" s="18" t="s">
        <v>1250</v>
      </c>
      <c r="F14" s="155"/>
      <c r="G14" s="935" t="str">
        <f>IFERROR(INDEX(clientData[payment_account],MATCH($B$6,clientData[cod_cliente],0)),"")</f>
        <v>"INTESA SANPAOLO SPA" - IBAN: IT15 I030 6949 1101 0000 0009 776 - (BIC)  SWIFT: BCITITMM</v>
      </c>
      <c r="H14" s="936"/>
      <c r="I14" s="937"/>
      <c r="J14" s="121"/>
      <c r="L14" s="274" t="str">
        <f t="array" ref="L14">IFERROR(IF($D$9="",IF($D$11="",IF($D$13="",INDEX(orderHistory[customer],SMALL(MATCH(ROW(orderHistory[customer]),ROW(orderHistory[customer])),ROWS($A$15:A19)+$B$3)),INDEX(orderHistory[customer],SMALL(IF(ISNUMBER(MATCH(orderHistory[order_type],$D$13,0)),MATCH(ROW(orderHistory[customer]),ROW(orderHistory[customer])),""),ROWS($A$15:A19)+$B$3))),IF($D$13="",INDEX(orderHistory[customer],SMALL(IF(ISNUMBER(MATCH(orderHistory[status],$D$11,0)),MATCH(ROW(orderHistory[customer]),ROW(orderHistory[customer])),""),ROWS($A$15:A19)+$B$3)),INDEX(orderHistory[customer],SMALL(IF(ISNUMBER(MATCH(orderHistory[status],$D$11,0)*MATCH(orderHistory[order_type],$D$13,0)),MATCH(ROW(orderHistory[customer]),ROW(orderHistory[customer])),""),ROWS($A$15:A19)+$B$3)))),IF($D$11="",IF($D$13="",INDEX(orderHistory[customer],SMALL(IF(ISNUMBER(MATCH(orderHistory[customer],$D$9,0)),MATCH(ROW(orderHistory[customer]),ROW(orderHistory[customer])),""),ROWS($A$15:A19)+$B$3)),INDEX(orderHistory[customer],SMALL(IF(ISNUMBER(MATCH(orderHistory[customer],$D$9,0)*MATCH(orderHistory[order_type],$D$13,0)),MATCH(ROW(orderHistory[customer]),ROW(orderHistory[customer])),""),ROWS($A$15:A19)+$B$3))),IF($D$13="",INDEX(orderHistory[customer],SMALL(IF(ISNUMBER(MATCH(orderHistory[customer],$D$9,0)*MATCH(orderHistory[status],$D$11,0)),MATCH(ROW(orderHistory[customer]),ROW(orderHistory[customer])),""),ROWS($A$15:A19)+$B$3)),INDEX(orderHistory[customer],SMALL(IF(ISNUMBER(MATCH(orderHistory[customer],$D$9,0)*MATCH(orderHistory[status],$D$11,0)*MATCH(orderHistory[order_type],$D$13,0)),MATCH(ROW(orderHistory[customer]),ROW(orderHistory[customer])),""),ROWS($A$15:A19)+$B$3))))),"")</f>
        <v>PER SCENT</v>
      </c>
      <c r="M14" s="391">
        <f t="array" ref="M14">IFERROR(IF($D$9="",IF($D$11="",IF($D$13="",INDEX(orderHistory[order_no],SMALL(MATCH(ROW(orderHistory[customer]),ROW(orderHistory[customer])),ROWS($A$15:A19)+$B$3)),INDEX(orderHistory[order_no],SMALL(IF(ISNUMBER(MATCH(orderHistory[order_type],$D$13,0)),MATCH(ROW(orderHistory[customer]),ROW(orderHistory[customer])),""),ROWS($A$15:A19)+$B$3))),IF($D$13="",INDEX(orderHistory[order_no],SMALL(IF(ISNUMBER(MATCH(orderHistory[status],$D$11,0)),MATCH(ROW(orderHistory[customer]),ROW(orderHistory[customer])),""),ROWS($A$15:A19)+$B$3)),INDEX(orderHistory[order_no],SMALL(IF(ISNUMBER(MATCH(orderHistory[status],$D$11,0)*MATCH(orderHistory[order_type],$D$13,0)),MATCH(ROW(orderHistory[customer]),ROW(orderHistory[customer])),""),ROWS($A$15:A19)+$B$3)))),IF($D$11="",IF($D$13="",INDEX(orderHistory[order_no],SMALL(IF(ISNUMBER(MATCH(orderHistory[customer],$D$9,0)),MATCH(ROW(orderHistory[customer]),ROW(orderHistory[customer])),""),ROWS($A$15:A19)+$B$3)),INDEX(orderHistory[order_no],SMALL(IF(ISNUMBER(MATCH(orderHistory[customer],$D$9,0)*MATCH(orderHistory[order_type],$D$13,0)),MATCH(ROW(orderHistory[customer]),ROW(orderHistory[customer])),""),ROWS($A$15:A19)+$B$3))),IF($D$13="",INDEX(orderHistory[order_no],SMALL(IF(ISNUMBER(MATCH(orderHistory[customer],$D$9,0)*MATCH(orderHistory[status],$D$11,0)),MATCH(ROW(orderHistory[customer]),ROW(orderHistory[customer])),""),ROWS($A$15:A19)+$B$3)),INDEX(orderHistory[order_no],SMALL(IF(ISNUMBER(MATCH(orderHistory[customer],$D$9,0)*MATCH(orderHistory[status],$D$11,0)*MATCH(orderHistory[order_type],$D$13,0)),MATCH(ROW(orderHistory[customer]),ROW(orderHistory[customer])),""),ROWS($A$15:A19)+$B$3))))),"")</f>
        <v>37</v>
      </c>
      <c r="N14" s="386" t="str">
        <f t="array" ref="N14">IFERROR(IF($D$9="",IF($D$11="",IF($D$13="",INDEX(orderHistory[order_type],SMALL(MATCH(ROW(orderHistory[customer]),ROW(orderHistory[customer])),ROWS($A$15:A19)+$B$3)),INDEX(orderHistory[order_type],SMALL(IF(ISNUMBER(MATCH(orderHistory[order_type],$D$13,0)),MATCH(ROW(orderHistory[customer]),ROW(orderHistory[customer])),""),ROWS($A$15:A19)+$B$3))),IF($D$13="",INDEX(orderHistory[order_type],SMALL(IF(ISNUMBER(MATCH(orderHistory[status],$D$11,0)),MATCH(ROW(orderHistory[customer]),ROW(orderHistory[customer])),""),ROWS($A$15:A19)+$B$3)),INDEX(orderHistory[order_type],SMALL(IF(ISNUMBER(MATCH(orderHistory[status],$D$11,0)*MATCH(orderHistory[order_type],$D$13,0)),MATCH(ROW(orderHistory[customer]),ROW(orderHistory[customer])),""),ROWS($A$15:A19)+$B$3)))),IF($D$11="",IF($D$13="",INDEX(orderHistory[order_type],SMALL(IF(ISNUMBER(MATCH(orderHistory[customer],$D$9,0)),MATCH(ROW(orderHistory[customer]),ROW(orderHistory[customer])),""),ROWS($A$15:A19)+$B$3)),INDEX(orderHistory[order_type],SMALL(IF(ISNUMBER(MATCH(orderHistory[customer],$D$9,0)*MATCH(orderHistory[order_type],$D$13,0)),MATCH(ROW(orderHistory[customer]),ROW(orderHistory[customer])),""),ROWS($A$15:A19)+$B$3))),IF($D$13="",INDEX(orderHistory[order_type],SMALL(IF(ISNUMBER(MATCH(orderHistory[customer],$D$9,0)*MATCH(orderHistory[status],$D$11,0)),MATCH(ROW(orderHistory[customer]),ROW(orderHistory[customer])),""),ROWS($A$15:A19)+$B$3)),INDEX(orderHistory[order_type],SMALL(IF(ISNUMBER(MATCH(orderHistory[customer],$D$9,0)*MATCH(orderHistory[status],$D$11,0)*MATCH(orderHistory[order_type],$D$13,0)),MATCH(ROW(orderHistory[customer]),ROW(orderHistory[customer])),""),ROWS($A$15:A19)+$B$3))))),"")</f>
        <v>SALE</v>
      </c>
      <c r="O14" s="275">
        <f t="array" ref="O14">IFERROR(IF($D$9="",IF($D$11="",IF($D$13="",INDEX(orderHistory[order_date],SMALL(MATCH(ROW(orderHistory[customer]),ROW(orderHistory[customer])),ROWS($A$15:A19)+$B$3)),INDEX(orderHistory[order_date],SMALL(IF(ISNUMBER(MATCH(orderHistory[order_type],$D$13,0)),MATCH(ROW(orderHistory[customer]),ROW(orderHistory[customer])),""),ROWS($A$15:A19)+$B$3))),IF($D$13="",INDEX(orderHistory[order_date],SMALL(IF(ISNUMBER(MATCH(orderHistory[status],$D$11,0)),MATCH(ROW(orderHistory[customer]),ROW(orderHistory[customer])),""),ROWS($A$15:A19)+$B$3)),INDEX(orderHistory[order_date],SMALL(IF(ISNUMBER(MATCH(orderHistory[status],$D$11,0)*MATCH(orderHistory[order_type],$D$13,0)),MATCH(ROW(orderHistory[customer]),ROW(orderHistory[customer])),""),ROWS($A$15:A19)+$B$3)))),IF($D$11="",IF($D$13="",INDEX(orderHistory[order_date],SMALL(IF(ISNUMBER(MATCH(orderHistory[customer],$D$9,0)),MATCH(ROW(orderHistory[customer]),ROW(orderHistory[customer])),""),ROWS($A$15:A19)+$B$3)),INDEX(orderHistory[order_date],SMALL(IF(ISNUMBER(MATCH(orderHistory[customer],$D$9,0)*MATCH(orderHistory[order_type],$D$13,0)),MATCH(ROW(orderHistory[customer]),ROW(orderHistory[customer])),""),ROWS($A$15:A19)+$B$3))),IF($D$13="",INDEX(orderHistory[order_date],SMALL(IF(ISNUMBER(MATCH(orderHistory[customer],$D$9,0)*MATCH(orderHistory[status],$D$11,0)),MATCH(ROW(orderHistory[customer]),ROW(orderHistory[customer])),""),ROWS($A$15:A19)+$B$3)),INDEX(orderHistory[order_date],SMALL(IF(ISNUMBER(MATCH(orderHistory[customer],$D$9,0)*MATCH(orderHistory[status],$D$11,0)*MATCH(orderHistory[order_type],$D$13,0)),MATCH(ROW(orderHistory[customer]),ROW(orderHistory[customer])),""),ROWS($A$15:A19)+$B$3))))),"")</f>
        <v>45408</v>
      </c>
      <c r="P14" s="379">
        <f t="array" ref="P14">IF(IFERROR(IF($D$9="",IF($D$11="",IF($D$13="",INDEX(orderHistory[invoice_no],SMALL(MATCH(ROW(orderHistory[customer]),ROW(orderHistory[customer])),ROWS($A$15:A19)+$B$3)),INDEX(orderHistory[invoice_no],SMALL(IF(ISNUMBER(MATCH(orderHistory[order_type],$D$13,0)),MATCH(ROW(orderHistory[customer]),ROW(orderHistory[customer])),""),ROWS($A$15:A19)+$B$3))),IF($D$13="",INDEX(orderHistory[invoice_no],SMALL(IF(ISNUMBER(MATCH(orderHistory[status],$D$11,0)),MATCH(ROW(orderHistory[customer]),ROW(orderHistory[customer])),""),ROWS($A$15:A19)+$B$3)),INDEX(orderHistory[invoice_no],SMALL(IF(ISNUMBER(MATCH(orderHistory[status],$D$11,0)*MATCH(orderHistory[order_type],$D$13,0)),MATCH(ROW(orderHistory[customer]),ROW(orderHistory[customer])),""),ROWS($A$15:A19)+$B$3)))),IF($D$11="",IF($D$13="",INDEX(orderHistory[invoice_no],SMALL(IF(ISNUMBER(MATCH(orderHistory[customer],$D$9,0)),MATCH(ROW(orderHistory[customer]),ROW(orderHistory[customer])),""),ROWS($A$15:A19)+$B$3)),INDEX(orderHistory[invoice_no],SMALL(IF(ISNUMBER(MATCH(orderHistory[customer],$D$9,0)*MATCH(orderHistory[order_type],$D$13,0)),MATCH(ROW(orderHistory[customer]),ROW(orderHistory[customer])),""),ROWS($A$15:A19)+$B$3))),IF($D$13="",INDEX(orderHistory[invoice_no],SMALL(IF(ISNUMBER(MATCH(orderHistory[customer],$D$9,0)*MATCH(orderHistory[status],$D$11,0)),MATCH(ROW(orderHistory[customer]),ROW(orderHistory[customer])),""),ROWS($A$15:A19)+$B$3)),INDEX(orderHistory[invoice_no],SMALL(IF(ISNUMBER(MATCH(orderHistory[customer],$D$9,0)*MATCH(orderHistory[status],$D$11,0)*MATCH(orderHistory[order_type],$D$13,0)),MATCH(ROW(orderHistory[customer]),ROW(orderHistory[customer])),""),ROWS($A$15:A19)+$B$3))))),"")=0,"",IFERROR(IF($D$9="",IF($D$11="",IF($D$13="",INDEX(orderHistory[invoice_no],SMALL(MATCH(ROW(orderHistory[customer]),ROW(orderHistory[customer])),ROWS($A$15:A19)+$B$3)),INDEX(orderHistory[invoice_no],SMALL(IF(ISNUMBER(MATCH(orderHistory[order_type],$D$13,0)),MATCH(ROW(orderHistory[customer]),ROW(orderHistory[customer])),""),ROWS($A$15:A19)+$B$3))),IF($D$13="",INDEX(orderHistory[invoice_no],SMALL(IF(ISNUMBER(MATCH(orderHistory[status],$D$11,0)),MATCH(ROW(orderHistory[customer]),ROW(orderHistory[customer])),""),ROWS($A$15:A19)+$B$3)),INDEX(orderHistory[invoice_no],SMALL(IF(ISNUMBER(MATCH(orderHistory[status],$D$11,0)*MATCH(orderHistory[order_type],$D$13,0)),MATCH(ROW(orderHistory[customer]),ROW(orderHistory[customer])),""),ROWS($A$15:A19)+$B$3)))),IF($D$11="",IF($D$13="",INDEX(orderHistory[invoice_no],SMALL(IF(ISNUMBER(MATCH(orderHistory[customer],$D$9,0)),MATCH(ROW(orderHistory[customer]),ROW(orderHistory[customer])),""),ROWS($A$15:A19)+$B$3)),INDEX(orderHistory[invoice_no],SMALL(IF(ISNUMBER(MATCH(orderHistory[customer],$D$9,0)*MATCH(orderHistory[order_type],$D$13,0)),MATCH(ROW(orderHistory[customer]),ROW(orderHistory[customer])),""),ROWS($A$15:A19)+$B$3))),IF($D$13="",INDEX(orderHistory[invoice_no],SMALL(IF(ISNUMBER(MATCH(orderHistory[customer],$D$9,0)*MATCH(orderHistory[status],$D$11,0)),MATCH(ROW(orderHistory[customer]),ROW(orderHistory[customer])),""),ROWS($A$15:A19)+$B$3)),INDEX(orderHistory[invoice_no],SMALL(IF(ISNUMBER(MATCH(orderHistory[customer],$D$9,0)*MATCH(orderHistory[status],$D$11,0)*MATCH(orderHistory[order_type],$D$13,0)),MATCH(ROW(orderHistory[customer]),ROW(orderHistory[customer])),""),ROWS($A$15:A19)+$B$3))))),""))</f>
        <v>141</v>
      </c>
      <c r="Q14" s="381">
        <f t="array" ref="Q14">IF(IFERROR(IF($D$9="",IF($D$11="",IF($D$13="",INDEX(orderHistory[invoice_date],SMALL(MATCH(ROW(orderHistory[customer]),ROW(orderHistory[customer])),ROWS($A$15:A19)+$B$3)),INDEX(orderHistory[invoice_date],SMALL(IF(ISNUMBER(MATCH(orderHistory[order_type],$D$13,0)),MATCH(ROW(orderHistory[customer]),ROW(orderHistory[customer])),""),ROWS($A$15:A19)+$B$3))),IF($D$13="",INDEX(orderHistory[invoice_date],SMALL(IF(ISNUMBER(MATCH(orderHistory[status],$D$11,0)),MATCH(ROW(orderHistory[customer]),ROW(orderHistory[customer])),""),ROWS($A$15:A19)+$B$3)),INDEX(orderHistory[invoice_date],SMALL(IF(ISNUMBER(MATCH(orderHistory[status],$D$11,0)*MATCH(orderHistory[order_type],$D$13,0)),MATCH(ROW(orderHistory[customer]),ROW(orderHistory[customer])),""),ROWS($A$15:A19)+$B$3)))),IF($D$11="",IF($D$13="",INDEX(orderHistory[invoice_date],SMALL(IF(ISNUMBER(MATCH(orderHistory[customer],$D$9,0)),MATCH(ROW(orderHistory[customer]),ROW(orderHistory[customer])),""),ROWS($A$15:A19)+$B$3)),INDEX(orderHistory[invoice_date],SMALL(IF(ISNUMBER(MATCH(orderHistory[customer],$D$9,0)*MATCH(orderHistory[order_type],$D$13,0)),MATCH(ROW(orderHistory[customer]),ROW(orderHistory[customer])),""),ROWS($A$15:A19)+$B$3))),IF($D$13="",INDEX(orderHistory[invoice_date],SMALL(IF(ISNUMBER(MATCH(orderHistory[customer],$D$9,0)*MATCH(orderHistory[status],$D$11,0)),MATCH(ROW(orderHistory[customer]),ROW(orderHistory[customer])),""),ROWS($A$15:A19)+$B$3)),INDEX(orderHistory[invoice_date],SMALL(IF(ISNUMBER(MATCH(orderHistory[customer],$D$9,0)*MATCH(orderHistory[status],$D$11,0)*MATCH(orderHistory[order_type],$D$13,0)),MATCH(ROW(orderHistory[customer]),ROW(orderHistory[customer])),""),ROWS($A$15:A19)+$B$3))))),"")=0,"",IFERROR(IF($D$9="",IF($D$11="",IF($D$13="",INDEX(orderHistory[invoice_date],SMALL(MATCH(ROW(orderHistory[customer]),ROW(orderHistory[customer])),ROWS($A$15:A19)+$B$3)),INDEX(orderHistory[invoice_date],SMALL(IF(ISNUMBER(MATCH(orderHistory[order_type],$D$13,0)),MATCH(ROW(orderHistory[customer]),ROW(orderHistory[customer])),""),ROWS($A$15:A19)+$B$3))),IF($D$13="",INDEX(orderHistory[invoice_date],SMALL(IF(ISNUMBER(MATCH(orderHistory[status],$D$11,0)),MATCH(ROW(orderHistory[customer]),ROW(orderHistory[customer])),""),ROWS($A$15:A19)+$B$3)),INDEX(orderHistory[invoice_date],SMALL(IF(ISNUMBER(MATCH(orderHistory[status],$D$11,0)*MATCH(orderHistory[order_type],$D$13,0)),MATCH(ROW(orderHistory[customer]),ROW(orderHistory[customer])),""),ROWS($A$15:A19)+$B$3)))),IF($D$11="",IF($D$13="",INDEX(orderHistory[invoice_date],SMALL(IF(ISNUMBER(MATCH(orderHistory[customer],$D$9,0)),MATCH(ROW(orderHistory[customer]),ROW(orderHistory[customer])),""),ROWS($A$15:A19)+$B$3)),INDEX(orderHistory[invoice_date],SMALL(IF(ISNUMBER(MATCH(orderHistory[customer],$D$9,0)*MATCH(orderHistory[order_type],$D$13,0)),MATCH(ROW(orderHistory[customer]),ROW(orderHistory[customer])),""),ROWS($A$15:A19)+$B$3))),IF($D$13="",INDEX(orderHistory[invoice_date],SMALL(IF(ISNUMBER(MATCH(orderHistory[customer],$D$9,0)*MATCH(orderHistory[status],$D$11,0)),MATCH(ROW(orderHistory[customer]),ROW(orderHistory[customer])),""),ROWS($A$15:A19)+$B$3)),INDEX(orderHistory[invoice_date],SMALL(IF(ISNUMBER(MATCH(orderHistory[customer],$D$9,0)*MATCH(orderHistory[status],$D$11,0)*MATCH(orderHistory[order_type],$D$13,0)),MATCH(ROW(orderHistory[customer]),ROW(orderHistory[customer])),""),ROWS($A$15:A19)+$B$3))))),""))</f>
        <v>45418</v>
      </c>
      <c r="R14" s="377">
        <f t="array" ref="R14">IFERROR(IF($D$9="",IF($D$11="",IF($D$13="",INDEX(orderHistory[inv_amount],SMALL(MATCH(ROW(orderHistory[customer]),ROW(orderHistory[customer])),ROWS($A$15:A19)+$B$3)),INDEX(orderHistory[inv_amount],SMALL(IF(ISNUMBER(MATCH(orderHistory[order_type],$D$13,0)),MATCH(ROW(orderHistory[customer]),ROW(orderHistory[customer])),""),ROWS($A$15:A19)+$B$3))),IF($D$13="",INDEX(orderHistory[inv_amount],SMALL(IF(ISNUMBER(MATCH(orderHistory[status],$D$11,0)),MATCH(ROW(orderHistory[customer]),ROW(orderHistory[customer])),""),ROWS($A$15:A19)+$B$3)),INDEX(orderHistory[inv_amount],SMALL(IF(ISNUMBER(MATCH(orderHistory[status],$D$11,0)*MATCH(orderHistory[order_type],$D$13,0)),MATCH(ROW(orderHistory[customer]),ROW(orderHistory[customer])),""),ROWS($A$15:A19)+$B$3)))),IF($D$11="",IF($D$13="",INDEX(orderHistory[inv_amount],SMALL(IF(ISNUMBER(MATCH(orderHistory[customer],$D$9,0)),MATCH(ROW(orderHistory[customer]),ROW(orderHistory[customer])),""),ROWS($A$15:A19)+$B$3)),INDEX(orderHistory[inv_amount],SMALL(IF(ISNUMBER(MATCH(orderHistory[customer],$D$9,0)*MATCH(orderHistory[order_type],$D$13,0)),MATCH(ROW(orderHistory[customer]),ROW(orderHistory[customer])),""),ROWS($A$15:A19)+$B$3))),IF($D$13="",INDEX(orderHistory[inv_amount],SMALL(IF(ISNUMBER(MATCH(orderHistory[customer],$D$9,0)*MATCH(orderHistory[status],$D$11,0)),MATCH(ROW(orderHistory[customer]),ROW(orderHistory[customer])),""),ROWS($A$15:A19)+$B$3)),INDEX(orderHistory[inv_amount],SMALL(IF(ISNUMBER(MATCH(orderHistory[customer],$D$9,0)*MATCH(orderHistory[status],$D$11,0)*MATCH(orderHistory[order_type],$D$13,0)),MATCH(ROW(orderHistory[customer]),ROW(orderHistory[customer])),""),ROWS($A$15:A19)+$B$3))))),"")</f>
        <v>9193.33</v>
      </c>
      <c r="S14" s="383">
        <f t="shared" si="0"/>
        <v>643.5331000000001</v>
      </c>
      <c r="T14" s="385" t="b">
        <f t="array" ref="T14">IFERROR(IF($D$9="",IF($D$11="",IF($D$13="",INDEX(orderHistory[payed],SMALL(MATCH(ROW(orderHistory[customer]),ROW(orderHistory[customer])),ROWS($A$15:A19)+$B$3)),INDEX(orderHistory[payed],SMALL(IF(ISNUMBER(MATCH(orderHistory[order_type],$D$13,0)),MATCH(ROW(orderHistory[customer]),ROW(orderHistory[customer])),""),ROWS($A$15:A19)+$B$3))),IF($D$13="",INDEX(orderHistory[payed],SMALL(IF(ISNUMBER(MATCH(orderHistory[status],$D$11,0)),MATCH(ROW(orderHistory[customer]),ROW(orderHistory[customer])),""),ROWS($A$15:A19)+$B$3)),INDEX(orderHistory[payed],SMALL(IF(ISNUMBER(MATCH(orderHistory[status],$D$11,0)*MATCH(orderHistory[order_type],$D$13,0)),MATCH(ROW(orderHistory[customer]),ROW(orderHistory[customer])),""),ROWS($A$15:A19)+$B$3)))),IF($D$11="",IF($D$13="",INDEX(orderHistory[payed],SMALL(IF(ISNUMBER(MATCH(orderHistory[customer],$D$9,0)),MATCH(ROW(orderHistory[customer]),ROW(orderHistory[customer])),""),ROWS($A$15:A19)+$B$3)),INDEX(orderHistory[payed],SMALL(IF(ISNUMBER(MATCH(orderHistory[customer],$D$9,0)*MATCH(orderHistory[order_type],$D$13,0)),MATCH(ROW(orderHistory[customer]),ROW(orderHistory[customer])),""),ROWS($A$15:A19)+$B$3))),IF($D$13="",INDEX(orderHistory[payed],SMALL(IF(ISNUMBER(MATCH(orderHistory[customer],$D$9,0)*MATCH(orderHistory[status],$D$11,0)),MATCH(ROW(orderHistory[customer]),ROW(orderHistory[customer])),""),ROWS($A$15:A19)+$B$3)),INDEX(orderHistory[payed],SMALL(IF(ISNUMBER(MATCH(orderHistory[customer],$D$9,0)*MATCH(orderHistory[status],$D$11,0)*MATCH(orderHistory[order_type],$D$13,0)),MATCH(ROW(orderHistory[customer]),ROW(orderHistory[customer])),""),ROWS($A$15:A19)+$B$3))))),"")</f>
        <v>0</v>
      </c>
      <c r="U14" s="386" t="str">
        <f t="array" ref="U14">IFERROR(IF($D$9="",IF($D$11="",IF($D$13="",INDEX(orderHistory[shipping_method],SMALL(MATCH(ROW(orderHistory[customer]),ROW(orderHistory[customer])),ROWS($A$15:A19)+$B$3)),INDEX(orderHistory[shipping_method],SMALL(IF(ISNUMBER(MATCH(orderHistory[order_type],$D$13,0)),MATCH(ROW(orderHistory[customer]),ROW(orderHistory[customer])),""),ROWS($A$15:A19)+$B$3))),IF($D$13="",INDEX(orderHistory[shipping_method],SMALL(IF(ISNUMBER(MATCH(orderHistory[status],$D$11,0)),MATCH(ROW(orderHistory[customer]),ROW(orderHistory[customer])),""),ROWS($A$15:A19)+$B$3)),INDEX(orderHistory[shipping_method],SMALL(IF(ISNUMBER(MATCH(orderHistory[status],$D$11,0)*MATCH(orderHistory[order_type],$D$13,0)),MATCH(ROW(orderHistory[customer]),ROW(orderHistory[customer])),""),ROWS($A$15:A19)+$B$3)))),IF($D$11="",IF($D$13="",INDEX(orderHistory[shipping_method],SMALL(IF(ISNUMBER(MATCH(orderHistory[customer],$D$9,0)),MATCH(ROW(orderHistory[customer]),ROW(orderHistory[customer])),""),ROWS($A$15:A19)+$B$3)),INDEX(orderHistory[shipping_method],SMALL(IF(ISNUMBER(MATCH(orderHistory[customer],$D$9,0)*MATCH(orderHistory[order_type],$D$13,0)),MATCH(ROW(orderHistory[customer]),ROW(orderHistory[customer])),""),ROWS($A$15:A19)+$B$3))),IF($D$13="",INDEX(orderHistory[shipping_method],SMALL(IF(ISNUMBER(MATCH(orderHistory[customer],$D$9,0)*MATCH(orderHistory[status],$D$11,0)),MATCH(ROW(orderHistory[customer]),ROW(orderHistory[customer])),""),ROWS($A$15:A19)+$B$3)),INDEX(orderHistory[shipping_method],SMALL(IF(ISNUMBER(MATCH(orderHistory[customer],$D$9,0)*MATCH(orderHistory[status],$D$11,0)*MATCH(orderHistory[order_type],$D$13,0)),MATCH(ROW(orderHistory[customer]),ROW(orderHistory[customer])),""),ROWS($A$15:A19)+$B$3))))),"")</f>
        <v>BY ROAD</v>
      </c>
      <c r="V14" s="387" t="str">
        <f t="array" ref="V14">IFERROR(IF($D$9="",IF($D$11="",IF($D$13="",INDEX(orderHistory[status],SMALL(MATCH(ROW(orderHistory[customer]),ROW(orderHistory[customer])),ROWS($A$15:A19)+$B$3)),INDEX(orderHistory[status],SMALL(IF(ISNUMBER(MATCH(orderHistory[order_type],$D$13,0)),MATCH(ROW(orderHistory[customer]),ROW(orderHistory[customer])),""),ROWS($A$15:A19)+$B$3))),IF($D$13="",INDEX(orderHistory[status],SMALL(IF(ISNUMBER(MATCH(orderHistory[status],$D$11,0)),MATCH(ROW(orderHistory[customer]),ROW(orderHistory[customer])),""),ROWS($A$15:A19)+$B$3)),INDEX(orderHistory[status],SMALL(IF(ISNUMBER(MATCH(orderHistory[status],$D$11,0)*MATCH(orderHistory[order_type],$D$13,0)),MATCH(ROW(orderHistory[customer]),ROW(orderHistory[customer])),""),ROWS($A$15:A19)+$B$3)))),IF($D$11="",IF($D$13="",INDEX(orderHistory[status],SMALL(IF(ISNUMBER(MATCH(orderHistory[customer],$D$9,0)),MATCH(ROW(orderHistory[customer]),ROW(orderHistory[customer])),""),ROWS($A$15:A19)+$B$3)),INDEX(orderHistory[status],SMALL(IF(ISNUMBER(MATCH(orderHistory[customer],$D$9,0)*MATCH(orderHistory[order_type],$D$13,0)),MATCH(ROW(orderHistory[customer]),ROW(orderHistory[customer])),""),ROWS($A$15:A19)+$B$3))),IF($D$13="",INDEX(orderHistory[status],SMALL(IF(ISNUMBER(MATCH(orderHistory[customer],$D$9,0)*MATCH(orderHistory[status],$D$11,0)),MATCH(ROW(orderHistory[customer]),ROW(orderHistory[customer])),""),ROWS($A$15:A19)+$B$3)),INDEX(orderHistory[status],SMALL(IF(ISNUMBER(MATCH(orderHistory[customer],$D$9,0)*MATCH(orderHistory[status],$D$11,0)*MATCH(orderHistory[order_type],$D$13,0)),MATCH(ROW(orderHistory[customer]),ROW(orderHistory[customer])),""),ROWS($A$15:A19)+$B$3))))),"")</f>
        <v>SHIPPED</v>
      </c>
      <c r="W14" s="257"/>
      <c r="AQ14" s="125" t="s">
        <v>691</v>
      </c>
      <c r="AR14" s="588"/>
      <c r="AS14" s="262" t="s">
        <v>859</v>
      </c>
      <c r="AT14" s="402" t="b">
        <v>1</v>
      </c>
      <c r="AU14" s="121"/>
      <c r="AW14" s="125"/>
      <c r="AX14" s="162" t="s">
        <v>692</v>
      </c>
      <c r="AY14" s="120"/>
      <c r="AZ14" s="120"/>
      <c r="BA14" s="120"/>
      <c r="BB14" s="120"/>
      <c r="BC14" s="120"/>
      <c r="BD14" s="180"/>
      <c r="BE14" s="320"/>
      <c r="BF14" s="326" t="s">
        <v>1295</v>
      </c>
      <c r="BG14" s="326"/>
      <c r="BH14" s="326"/>
      <c r="BI14" s="327"/>
      <c r="BJ14" s="321"/>
      <c r="BK14" s="330"/>
      <c r="BL14" s="147"/>
      <c r="BM14" s="148"/>
      <c r="BN14" s="147"/>
      <c r="BO14" s="148"/>
      <c r="BX14" s="420" t="s">
        <v>1007</v>
      </c>
      <c r="BZ14" s="304"/>
      <c r="CA14" s="270" t="str">
        <f>IF(BZ14="","",VLOOKUP(BZ14,bhpc_data[],7,FALSE))</f>
        <v/>
      </c>
      <c r="CB14" s="303"/>
      <c r="CC14" s="643"/>
      <c r="CD14" s="297"/>
      <c r="CE14" s="645"/>
      <c r="CF14" s="298"/>
      <c r="CG14" s="301" t="str">
        <f>IFERROR(ROUNDUP(CB14/VLOOKUP(BZ14,bhpc_data[],9,FALSE),0)+ROUNDUP(CD14/VLOOKUP(BZ14,bhpc_data[],9,FALSE),0),"")</f>
        <v/>
      </c>
      <c r="CH14" s="302" t="str">
        <f>IFERROR(ROUNDUP(CD14/VLOOKUP(BZ14,bhpc_data[],9,FALSE),0),"")</f>
        <v/>
      </c>
      <c r="CI14" s="302" t="str">
        <f>IFERROR(ROUNDUP(CF14/VLOOKUP(BZ14,bhpc_data[],9,FALSE),0),"")</f>
        <v/>
      </c>
      <c r="CJ14" s="302" t="str">
        <f>IFERROR(((CB14+CD14+CF14)/VLOOKUP(BZ14,bhpc_data[],9,FALSE))*VLOOKUP(BZ14,bhpc_data[],17,FALSE),"")</f>
        <v/>
      </c>
      <c r="CK14" s="302" t="str">
        <f>IFERROR(((CB14+CD14+CF14)/VLOOKUP(BZ14,bhpc_data[],9,FALSE))*VLOOKUP(BZ14,bhpc_data[],18,FALSE),"")</f>
        <v/>
      </c>
      <c r="CL14" s="346" t="str">
        <f>IFERROR((CB14+CD14)/VLOOKUP(BZ14,bhpc_data[],9,FALSE)*VLOOKUP(BZ14,bhpc_data[],14,FALSE)*VLOOKUP(BZ14,bhpc_data[],15,FALSE)*VLOOKUP(BZ14,bhpc_data[],16,FALSE)/1000000000,"")</f>
        <v/>
      </c>
      <c r="CM14" s="409" t="str">
        <f>IFERROR(VLOOKUP(BZ14,bhpc_data[],2,FALSE),"")</f>
        <v/>
      </c>
      <c r="CN14" s="409" t="str">
        <f>IFERROR(VLOOKUP(BZ14,bhpc_data[],19,FALSE),"")</f>
        <v/>
      </c>
      <c r="CO14" s="653" t="str">
        <f>IFERROR(VLOOKUP(BZ14,bhpc_data[],6,FALSE),"")</f>
        <v/>
      </c>
      <c r="CP14" s="654" t="str">
        <f>IFERROR(VLOOKUP(BZ14,inventory[],4,FALSE),"")</f>
        <v/>
      </c>
      <c r="CQ14" s="655" t="str">
        <f>IFERROR(IF(BZ14="","",IF($BX$15="SALE",VLOOKUP(BZ14,inventory[],5,FALSE),IF($BX$15="SAMPLING",VLOOKUP(BZ14,inventory[],5,FALSE),""))),"")</f>
        <v/>
      </c>
      <c r="CR14" s="656" t="str">
        <f>IFERROR(IF(BZ14="","",(CB14+CD14+CF14)*CQ14),"")</f>
        <v/>
      </c>
      <c r="CS14" s="557" t="str">
        <f>IF(BZ14="","",CB14*CC14+CD14*CE14)</f>
        <v/>
      </c>
      <c r="CU14" s="125"/>
      <c r="CV14" s="134" t="s">
        <v>690</v>
      </c>
      <c r="CW14" s="614">
        <f>SUM($CB$10:$CB$110,$CD$10:$CD$110,$CF$10:$CF$110)</f>
        <v>720</v>
      </c>
      <c r="CX14" s="663" t="s">
        <v>456</v>
      </c>
      <c r="CY14" s="617">
        <f>IF($BX$15="SUPPLY",0,$CY$11-$CY$12)</f>
        <v>0</v>
      </c>
      <c r="CZ14" s="121"/>
      <c r="DA14" s="540" t="str">
        <f>IFERROR(VLOOKUP(BZ14,bhpc_data[],22,FALSE),"")</f>
        <v/>
      </c>
      <c r="DF14" s="167"/>
      <c r="DG14" s="122"/>
      <c r="DH14" s="168"/>
      <c r="DI14" s="122"/>
      <c r="DJ14" s="122"/>
      <c r="DK14" s="122"/>
      <c r="DL14" s="122"/>
      <c r="DM14" s="122"/>
      <c r="DN14" s="122"/>
      <c r="DO14" s="122"/>
      <c r="DP14" s="122"/>
      <c r="DQ14" s="122"/>
      <c r="DR14" s="122"/>
      <c r="DS14" s="122"/>
      <c r="DT14" s="122"/>
      <c r="DU14" s="122"/>
      <c r="DV14" s="123"/>
      <c r="EC14" s="445" t="s">
        <v>1121</v>
      </c>
      <c r="EE14" s="453" t="s">
        <v>48</v>
      </c>
      <c r="EF14" s="447" t="str">
        <f>VLOOKUP(EE14,bhpc_data[],7,FALSE)</f>
        <v>BHPC GIFT SET WOMEN 1 EDP 50ML + DEO 150ML</v>
      </c>
      <c r="EG14" s="555">
        <f>IFERROR(VLOOKUP(EE14,inventory[],4,FALSE),0)</f>
        <v>471</v>
      </c>
      <c r="EH14" s="555">
        <f>IFERROR(VLOOKUP(warehouse[[#This Row],[SKU]],$EQ$10:$ES$38,3,FALSE),0)</f>
        <v>0</v>
      </c>
      <c r="EI14" s="555">
        <f>IFERROR(VLOOKUP(warehouse[[#This Row],[SKU]],$EM$10:$EO$61,3,FALSE),0)</f>
        <v>1387</v>
      </c>
      <c r="EJ14" s="555">
        <f>warehouse[[#This Row],[T-1]]+warehouse[[#This Row],[SUPPLY]]-warehouse[[#This Row],[SALE + SAMPLING]]</f>
        <v>-916</v>
      </c>
      <c r="EM14" s="74" t="s">
        <v>36</v>
      </c>
      <c r="EN14" s="74" t="s">
        <v>39</v>
      </c>
      <c r="EO14" s="431">
        <v>3091</v>
      </c>
      <c r="EQ14" s="74" t="s">
        <v>78</v>
      </c>
      <c r="ER14" s="74" t="s">
        <v>79</v>
      </c>
      <c r="ES14" s="446">
        <v>4608</v>
      </c>
    </row>
    <row r="15" spans="1:702" ht="15" customHeight="1" thickBot="1">
      <c r="A15" s="278" t="s">
        <v>749</v>
      </c>
      <c r="B15" s="279">
        <v>45436.715682870374</v>
      </c>
      <c r="D15" s="266"/>
      <c r="F15" s="155"/>
      <c r="G15" s="938"/>
      <c r="H15" s="939"/>
      <c r="I15" s="940"/>
      <c r="J15" s="121"/>
      <c r="L15" s="274" t="str">
        <f t="array" ref="L15">IFERROR(IF($D$9="",IF($D$11="",IF($D$13="",INDEX(orderHistory[customer],SMALL(MATCH(ROW(orderHistory[customer]),ROW(orderHistory[customer])),ROWS($A$15:A20)+$B$3)),INDEX(orderHistory[customer],SMALL(IF(ISNUMBER(MATCH(orderHistory[order_type],$D$13,0)),MATCH(ROW(orderHistory[customer]),ROW(orderHistory[customer])),""),ROWS($A$15:A20)+$B$3))),IF($D$13="",INDEX(orderHistory[customer],SMALL(IF(ISNUMBER(MATCH(orderHistory[status],$D$11,0)),MATCH(ROW(orderHistory[customer]),ROW(orderHistory[customer])),""),ROWS($A$15:A20)+$B$3)),INDEX(orderHistory[customer],SMALL(IF(ISNUMBER(MATCH(orderHistory[status],$D$11,0)*MATCH(orderHistory[order_type],$D$13,0)),MATCH(ROW(orderHistory[customer]),ROW(orderHistory[customer])),""),ROWS($A$15:A20)+$B$3)))),IF($D$11="",IF($D$13="",INDEX(orderHistory[customer],SMALL(IF(ISNUMBER(MATCH(orderHistory[customer],$D$9,0)),MATCH(ROW(orderHistory[customer]),ROW(orderHistory[customer])),""),ROWS($A$15:A20)+$B$3)),INDEX(orderHistory[customer],SMALL(IF(ISNUMBER(MATCH(orderHistory[customer],$D$9,0)*MATCH(orderHistory[order_type],$D$13,0)),MATCH(ROW(orderHistory[customer]),ROW(orderHistory[customer])),""),ROWS($A$15:A20)+$B$3))),IF($D$13="",INDEX(orderHistory[customer],SMALL(IF(ISNUMBER(MATCH(orderHistory[customer],$D$9,0)*MATCH(orderHistory[status],$D$11,0)),MATCH(ROW(orderHistory[customer]),ROW(orderHistory[customer])),""),ROWS($A$15:A20)+$B$3)),INDEX(orderHistory[customer],SMALL(IF(ISNUMBER(MATCH(orderHistory[customer],$D$9,0)*MATCH(orderHistory[status],$D$11,0)*MATCH(orderHistory[order_type],$D$13,0)),MATCH(ROW(orderHistory[customer]),ROW(orderHistory[customer])),""),ROWS($A$15:A20)+$B$3))))),"")</f>
        <v>DRUNI</v>
      </c>
      <c r="M15" s="391">
        <f t="array" ref="M15">IFERROR(IF($D$9="",IF($D$11="",IF($D$13="",INDEX(orderHistory[order_no],SMALL(MATCH(ROW(orderHistory[customer]),ROW(orderHistory[customer])),ROWS($A$15:A20)+$B$3)),INDEX(orderHistory[order_no],SMALL(IF(ISNUMBER(MATCH(orderHistory[order_type],$D$13,0)),MATCH(ROW(orderHistory[customer]),ROW(orderHistory[customer])),""),ROWS($A$15:A20)+$B$3))),IF($D$13="",INDEX(orderHistory[order_no],SMALL(IF(ISNUMBER(MATCH(orderHistory[status],$D$11,0)),MATCH(ROW(orderHistory[customer]),ROW(orderHistory[customer])),""),ROWS($A$15:A20)+$B$3)),INDEX(orderHistory[order_no],SMALL(IF(ISNUMBER(MATCH(orderHistory[status],$D$11,0)*MATCH(orderHistory[order_type],$D$13,0)),MATCH(ROW(orderHistory[customer]),ROW(orderHistory[customer])),""),ROWS($A$15:A20)+$B$3)))),IF($D$11="",IF($D$13="",INDEX(orderHistory[order_no],SMALL(IF(ISNUMBER(MATCH(orderHistory[customer],$D$9,0)),MATCH(ROW(orderHistory[customer]),ROW(orderHistory[customer])),""),ROWS($A$15:A20)+$B$3)),INDEX(orderHistory[order_no],SMALL(IF(ISNUMBER(MATCH(orderHistory[customer],$D$9,0)*MATCH(orderHistory[order_type],$D$13,0)),MATCH(ROW(orderHistory[customer]),ROW(orderHistory[customer])),""),ROWS($A$15:A20)+$B$3))),IF($D$13="",INDEX(orderHistory[order_no],SMALL(IF(ISNUMBER(MATCH(orderHistory[customer],$D$9,0)*MATCH(orderHistory[status],$D$11,0)),MATCH(ROW(orderHistory[customer]),ROW(orderHistory[customer])),""),ROWS($A$15:A20)+$B$3)),INDEX(orderHistory[order_no],SMALL(IF(ISNUMBER(MATCH(orderHistory[customer],$D$9,0)*MATCH(orderHistory[status],$D$11,0)*MATCH(orderHistory[order_type],$D$13,0)),MATCH(ROW(orderHistory[customer]),ROW(orderHistory[customer])),""),ROWS($A$15:A20)+$B$3))))),"")</f>
        <v>25</v>
      </c>
      <c r="N15" s="386" t="str">
        <f t="array" ref="N15">IFERROR(IF($D$9="",IF($D$11="",IF($D$13="",INDEX(orderHistory[order_type],SMALL(MATCH(ROW(orderHistory[customer]),ROW(orderHistory[customer])),ROWS($A$15:A20)+$B$3)),INDEX(orderHistory[order_type],SMALL(IF(ISNUMBER(MATCH(orderHistory[order_type],$D$13,0)),MATCH(ROW(orderHistory[customer]),ROW(orderHistory[customer])),""),ROWS($A$15:A20)+$B$3))),IF($D$13="",INDEX(orderHistory[order_type],SMALL(IF(ISNUMBER(MATCH(orderHistory[status],$D$11,0)),MATCH(ROW(orderHistory[customer]),ROW(orderHistory[customer])),""),ROWS($A$15:A20)+$B$3)),INDEX(orderHistory[order_type],SMALL(IF(ISNUMBER(MATCH(orderHistory[status],$D$11,0)*MATCH(orderHistory[order_type],$D$13,0)),MATCH(ROW(orderHistory[customer]),ROW(orderHistory[customer])),""),ROWS($A$15:A20)+$B$3)))),IF($D$11="",IF($D$13="",INDEX(orderHistory[order_type],SMALL(IF(ISNUMBER(MATCH(orderHistory[customer],$D$9,0)),MATCH(ROW(orderHistory[customer]),ROW(orderHistory[customer])),""),ROWS($A$15:A20)+$B$3)),INDEX(orderHistory[order_type],SMALL(IF(ISNUMBER(MATCH(orderHistory[customer],$D$9,0)*MATCH(orderHistory[order_type],$D$13,0)),MATCH(ROW(orderHistory[customer]),ROW(orderHistory[customer])),""),ROWS($A$15:A20)+$B$3))),IF($D$13="",INDEX(orderHistory[order_type],SMALL(IF(ISNUMBER(MATCH(orderHistory[customer],$D$9,0)*MATCH(orderHistory[status],$D$11,0)),MATCH(ROW(orderHistory[customer]),ROW(orderHistory[customer])),""),ROWS($A$15:A20)+$B$3)),INDEX(orderHistory[order_type],SMALL(IF(ISNUMBER(MATCH(orderHistory[customer],$D$9,0)*MATCH(orderHistory[status],$D$11,0)*MATCH(orderHistory[order_type],$D$13,0)),MATCH(ROW(orderHistory[customer]),ROW(orderHistory[customer])),""),ROWS($A$15:A20)+$B$3))))),"")</f>
        <v>SALE</v>
      </c>
      <c r="O15" s="275">
        <f t="array" ref="O15">IFERROR(IF($D$9="",IF($D$11="",IF($D$13="",INDEX(orderHistory[order_date],SMALL(MATCH(ROW(orderHistory[customer]),ROW(orderHistory[customer])),ROWS($A$15:A20)+$B$3)),INDEX(orderHistory[order_date],SMALL(IF(ISNUMBER(MATCH(orderHistory[order_type],$D$13,0)),MATCH(ROW(orderHistory[customer]),ROW(orderHistory[customer])),""),ROWS($A$15:A20)+$B$3))),IF($D$13="",INDEX(orderHistory[order_date],SMALL(IF(ISNUMBER(MATCH(orderHistory[status],$D$11,0)),MATCH(ROW(orderHistory[customer]),ROW(orderHistory[customer])),""),ROWS($A$15:A20)+$B$3)),INDEX(orderHistory[order_date],SMALL(IF(ISNUMBER(MATCH(orderHistory[status],$D$11,0)*MATCH(orderHistory[order_type],$D$13,0)),MATCH(ROW(orderHistory[customer]),ROW(orderHistory[customer])),""),ROWS($A$15:A20)+$B$3)))),IF($D$11="",IF($D$13="",INDEX(orderHistory[order_date],SMALL(IF(ISNUMBER(MATCH(orderHistory[customer],$D$9,0)),MATCH(ROW(orderHistory[customer]),ROW(orderHistory[customer])),""),ROWS($A$15:A20)+$B$3)),INDEX(orderHistory[order_date],SMALL(IF(ISNUMBER(MATCH(orderHistory[customer],$D$9,0)*MATCH(orderHistory[order_type],$D$13,0)),MATCH(ROW(orderHistory[customer]),ROW(orderHistory[customer])),""),ROWS($A$15:A20)+$B$3))),IF($D$13="",INDEX(orderHistory[order_date],SMALL(IF(ISNUMBER(MATCH(orderHistory[customer],$D$9,0)*MATCH(orderHistory[status],$D$11,0)),MATCH(ROW(orderHistory[customer]),ROW(orderHistory[customer])),""),ROWS($A$15:A20)+$B$3)),INDEX(orderHistory[order_date],SMALL(IF(ISNUMBER(MATCH(orderHistory[customer],$D$9,0)*MATCH(orderHistory[status],$D$11,0)*MATCH(orderHistory[order_type],$D$13,0)),MATCH(ROW(orderHistory[customer]),ROW(orderHistory[customer])),""),ROWS($A$15:A20)+$B$3))))),"")</f>
        <v>45390</v>
      </c>
      <c r="P15" s="379">
        <f t="array" ref="P15">IF(IFERROR(IF($D$9="",IF($D$11="",IF($D$13="",INDEX(orderHistory[invoice_no],SMALL(MATCH(ROW(orderHistory[customer]),ROW(orderHistory[customer])),ROWS($A$15:A20)+$B$3)),INDEX(orderHistory[invoice_no],SMALL(IF(ISNUMBER(MATCH(orderHistory[order_type],$D$13,0)),MATCH(ROW(orderHistory[customer]),ROW(orderHistory[customer])),""),ROWS($A$15:A20)+$B$3))),IF($D$13="",INDEX(orderHistory[invoice_no],SMALL(IF(ISNUMBER(MATCH(orderHistory[status],$D$11,0)),MATCH(ROW(orderHistory[customer]),ROW(orderHistory[customer])),""),ROWS($A$15:A20)+$B$3)),INDEX(orderHistory[invoice_no],SMALL(IF(ISNUMBER(MATCH(orderHistory[status],$D$11,0)*MATCH(orderHistory[order_type],$D$13,0)),MATCH(ROW(orderHistory[customer]),ROW(orderHistory[customer])),""),ROWS($A$15:A20)+$B$3)))),IF($D$11="",IF($D$13="",INDEX(orderHistory[invoice_no],SMALL(IF(ISNUMBER(MATCH(orderHistory[customer],$D$9,0)),MATCH(ROW(orderHistory[customer]),ROW(orderHistory[customer])),""),ROWS($A$15:A20)+$B$3)),INDEX(orderHistory[invoice_no],SMALL(IF(ISNUMBER(MATCH(orderHistory[customer],$D$9,0)*MATCH(orderHistory[order_type],$D$13,0)),MATCH(ROW(orderHistory[customer]),ROW(orderHistory[customer])),""),ROWS($A$15:A20)+$B$3))),IF($D$13="",INDEX(orderHistory[invoice_no],SMALL(IF(ISNUMBER(MATCH(orderHistory[customer],$D$9,0)*MATCH(orderHistory[status],$D$11,0)),MATCH(ROW(orderHistory[customer]),ROW(orderHistory[customer])),""),ROWS($A$15:A20)+$B$3)),INDEX(orderHistory[invoice_no],SMALL(IF(ISNUMBER(MATCH(orderHistory[customer],$D$9,0)*MATCH(orderHistory[status],$D$11,0)*MATCH(orderHistory[order_type],$D$13,0)),MATCH(ROW(orderHistory[customer]),ROW(orderHistory[customer])),""),ROWS($A$15:A20)+$B$3))))),"")=0,"",IFERROR(IF($D$9="",IF($D$11="",IF($D$13="",INDEX(orderHistory[invoice_no],SMALL(MATCH(ROW(orderHistory[customer]),ROW(orderHistory[customer])),ROWS($A$15:A20)+$B$3)),INDEX(orderHistory[invoice_no],SMALL(IF(ISNUMBER(MATCH(orderHistory[order_type],$D$13,0)),MATCH(ROW(orderHistory[customer]),ROW(orderHistory[customer])),""),ROWS($A$15:A20)+$B$3))),IF($D$13="",INDEX(orderHistory[invoice_no],SMALL(IF(ISNUMBER(MATCH(orderHistory[status],$D$11,0)),MATCH(ROW(orderHistory[customer]),ROW(orderHistory[customer])),""),ROWS($A$15:A20)+$B$3)),INDEX(orderHistory[invoice_no],SMALL(IF(ISNUMBER(MATCH(orderHistory[status],$D$11,0)*MATCH(orderHistory[order_type],$D$13,0)),MATCH(ROW(orderHistory[customer]),ROW(orderHistory[customer])),""),ROWS($A$15:A20)+$B$3)))),IF($D$11="",IF($D$13="",INDEX(orderHistory[invoice_no],SMALL(IF(ISNUMBER(MATCH(orderHistory[customer],$D$9,0)),MATCH(ROW(orderHistory[customer]),ROW(orderHistory[customer])),""),ROWS($A$15:A20)+$B$3)),INDEX(orderHistory[invoice_no],SMALL(IF(ISNUMBER(MATCH(orderHistory[customer],$D$9,0)*MATCH(orderHistory[order_type],$D$13,0)),MATCH(ROW(orderHistory[customer]),ROW(orderHistory[customer])),""),ROWS($A$15:A20)+$B$3))),IF($D$13="",INDEX(orderHistory[invoice_no],SMALL(IF(ISNUMBER(MATCH(orderHistory[customer],$D$9,0)*MATCH(orderHistory[status],$D$11,0)),MATCH(ROW(orderHistory[customer]),ROW(orderHistory[customer])),""),ROWS($A$15:A20)+$B$3)),INDEX(orderHistory[invoice_no],SMALL(IF(ISNUMBER(MATCH(orderHistory[customer],$D$9,0)*MATCH(orderHistory[status],$D$11,0)*MATCH(orderHistory[order_type],$D$13,0)),MATCH(ROW(orderHistory[customer]),ROW(orderHistory[customer])),""),ROWS($A$15:A20)+$B$3))))),""))</f>
        <v>118</v>
      </c>
      <c r="Q15" s="381">
        <f t="array" ref="Q15">IF(IFERROR(IF($D$9="",IF($D$11="",IF($D$13="",INDEX(orderHistory[invoice_date],SMALL(MATCH(ROW(orderHistory[customer]),ROW(orderHistory[customer])),ROWS($A$15:A20)+$B$3)),INDEX(orderHistory[invoice_date],SMALL(IF(ISNUMBER(MATCH(orderHistory[order_type],$D$13,0)),MATCH(ROW(orderHistory[customer]),ROW(orderHistory[customer])),""),ROWS($A$15:A20)+$B$3))),IF($D$13="",INDEX(orderHistory[invoice_date],SMALL(IF(ISNUMBER(MATCH(orderHistory[status],$D$11,0)),MATCH(ROW(orderHistory[customer]),ROW(orderHistory[customer])),""),ROWS($A$15:A20)+$B$3)),INDEX(orderHistory[invoice_date],SMALL(IF(ISNUMBER(MATCH(orderHistory[status],$D$11,0)*MATCH(orderHistory[order_type],$D$13,0)),MATCH(ROW(orderHistory[customer]),ROW(orderHistory[customer])),""),ROWS($A$15:A20)+$B$3)))),IF($D$11="",IF($D$13="",INDEX(orderHistory[invoice_date],SMALL(IF(ISNUMBER(MATCH(orderHistory[customer],$D$9,0)),MATCH(ROW(orderHistory[customer]),ROW(orderHistory[customer])),""),ROWS($A$15:A20)+$B$3)),INDEX(orderHistory[invoice_date],SMALL(IF(ISNUMBER(MATCH(orderHistory[customer],$D$9,0)*MATCH(orderHistory[order_type],$D$13,0)),MATCH(ROW(orderHistory[customer]),ROW(orderHistory[customer])),""),ROWS($A$15:A20)+$B$3))),IF($D$13="",INDEX(orderHistory[invoice_date],SMALL(IF(ISNUMBER(MATCH(orderHistory[customer],$D$9,0)*MATCH(orderHistory[status],$D$11,0)),MATCH(ROW(orderHistory[customer]),ROW(orderHistory[customer])),""),ROWS($A$15:A20)+$B$3)),INDEX(orderHistory[invoice_date],SMALL(IF(ISNUMBER(MATCH(orderHistory[customer],$D$9,0)*MATCH(orderHistory[status],$D$11,0)*MATCH(orderHistory[order_type],$D$13,0)),MATCH(ROW(orderHistory[customer]),ROW(orderHistory[customer])),""),ROWS($A$15:A20)+$B$3))))),"")=0,"",IFERROR(IF($D$9="",IF($D$11="",IF($D$13="",INDEX(orderHistory[invoice_date],SMALL(MATCH(ROW(orderHistory[customer]),ROW(orderHistory[customer])),ROWS($A$15:A20)+$B$3)),INDEX(orderHistory[invoice_date],SMALL(IF(ISNUMBER(MATCH(orderHistory[order_type],$D$13,0)),MATCH(ROW(orderHistory[customer]),ROW(orderHistory[customer])),""),ROWS($A$15:A20)+$B$3))),IF($D$13="",INDEX(orderHistory[invoice_date],SMALL(IF(ISNUMBER(MATCH(orderHistory[status],$D$11,0)),MATCH(ROW(orderHistory[customer]),ROW(orderHistory[customer])),""),ROWS($A$15:A20)+$B$3)),INDEX(orderHistory[invoice_date],SMALL(IF(ISNUMBER(MATCH(orderHistory[status],$D$11,0)*MATCH(orderHistory[order_type],$D$13,0)),MATCH(ROW(orderHistory[customer]),ROW(orderHistory[customer])),""),ROWS($A$15:A20)+$B$3)))),IF($D$11="",IF($D$13="",INDEX(orderHistory[invoice_date],SMALL(IF(ISNUMBER(MATCH(orderHistory[customer],$D$9,0)),MATCH(ROW(orderHistory[customer]),ROW(orderHistory[customer])),""),ROWS($A$15:A20)+$B$3)),INDEX(orderHistory[invoice_date],SMALL(IF(ISNUMBER(MATCH(orderHistory[customer],$D$9,0)*MATCH(orderHistory[order_type],$D$13,0)),MATCH(ROW(orderHistory[customer]),ROW(orderHistory[customer])),""),ROWS($A$15:A20)+$B$3))),IF($D$13="",INDEX(orderHistory[invoice_date],SMALL(IF(ISNUMBER(MATCH(orderHistory[customer],$D$9,0)*MATCH(orderHistory[status],$D$11,0)),MATCH(ROW(orderHistory[customer]),ROW(orderHistory[customer])),""),ROWS($A$15:A20)+$B$3)),INDEX(orderHistory[invoice_date],SMALL(IF(ISNUMBER(MATCH(orderHistory[customer],$D$9,0)*MATCH(orderHistory[status],$D$11,0)*MATCH(orderHistory[order_type],$D$13,0)),MATCH(ROW(orderHistory[customer]),ROW(orderHistory[customer])),""),ROWS($A$15:A20)+$B$3))))),""))</f>
        <v>45392</v>
      </c>
      <c r="R15" s="377">
        <f t="array" ref="R15">IFERROR(IF($D$9="",IF($D$11="",IF($D$13="",INDEX(orderHistory[inv_amount],SMALL(MATCH(ROW(orderHistory[customer]),ROW(orderHistory[customer])),ROWS($A$15:A20)+$B$3)),INDEX(orderHistory[inv_amount],SMALL(IF(ISNUMBER(MATCH(orderHistory[order_type],$D$13,0)),MATCH(ROW(orderHistory[customer]),ROW(orderHistory[customer])),""),ROWS($A$15:A20)+$B$3))),IF($D$13="",INDEX(orderHistory[inv_amount],SMALL(IF(ISNUMBER(MATCH(orderHistory[status],$D$11,0)),MATCH(ROW(orderHistory[customer]),ROW(orderHistory[customer])),""),ROWS($A$15:A20)+$B$3)),INDEX(orderHistory[inv_amount],SMALL(IF(ISNUMBER(MATCH(orderHistory[status],$D$11,0)*MATCH(orderHistory[order_type],$D$13,0)),MATCH(ROW(orderHistory[customer]),ROW(orderHistory[customer])),""),ROWS($A$15:A20)+$B$3)))),IF($D$11="",IF($D$13="",INDEX(orderHistory[inv_amount],SMALL(IF(ISNUMBER(MATCH(orderHistory[customer],$D$9,0)),MATCH(ROW(orderHistory[customer]),ROW(orderHistory[customer])),""),ROWS($A$15:A20)+$B$3)),INDEX(orderHistory[inv_amount],SMALL(IF(ISNUMBER(MATCH(orderHistory[customer],$D$9,0)*MATCH(orderHistory[order_type],$D$13,0)),MATCH(ROW(orderHistory[customer]),ROW(orderHistory[customer])),""),ROWS($A$15:A20)+$B$3))),IF($D$13="",INDEX(orderHistory[inv_amount],SMALL(IF(ISNUMBER(MATCH(orderHistory[customer],$D$9,0)*MATCH(orderHistory[status],$D$11,0)),MATCH(ROW(orderHistory[customer]),ROW(orderHistory[customer])),""),ROWS($A$15:A20)+$B$3)),INDEX(orderHistory[inv_amount],SMALL(IF(ISNUMBER(MATCH(orderHistory[customer],$D$9,0)*MATCH(orderHistory[status],$D$11,0)*MATCH(orderHistory[order_type],$D$13,0)),MATCH(ROW(orderHistory[customer]),ROW(orderHistory[customer])),""),ROWS($A$15:A20)+$B$3))))),"")</f>
        <v>15300</v>
      </c>
      <c r="S15" s="383">
        <f t="shared" si="0"/>
        <v>1071</v>
      </c>
      <c r="T15" s="385" t="b">
        <f t="array" ref="T15">IFERROR(IF($D$9="",IF($D$11="",IF($D$13="",INDEX(orderHistory[payed],SMALL(MATCH(ROW(orderHistory[customer]),ROW(orderHistory[customer])),ROWS($A$15:A20)+$B$3)),INDEX(orderHistory[payed],SMALL(IF(ISNUMBER(MATCH(orderHistory[order_type],$D$13,0)),MATCH(ROW(orderHistory[customer]),ROW(orderHistory[customer])),""),ROWS($A$15:A20)+$B$3))),IF($D$13="",INDEX(orderHistory[payed],SMALL(IF(ISNUMBER(MATCH(orderHistory[status],$D$11,0)),MATCH(ROW(orderHistory[customer]),ROW(orderHistory[customer])),""),ROWS($A$15:A20)+$B$3)),INDEX(orderHistory[payed],SMALL(IF(ISNUMBER(MATCH(orderHistory[status],$D$11,0)*MATCH(orderHistory[order_type],$D$13,0)),MATCH(ROW(orderHistory[customer]),ROW(orderHistory[customer])),""),ROWS($A$15:A20)+$B$3)))),IF($D$11="",IF($D$13="",INDEX(orderHistory[payed],SMALL(IF(ISNUMBER(MATCH(orderHistory[customer],$D$9,0)),MATCH(ROW(orderHistory[customer]),ROW(orderHistory[customer])),""),ROWS($A$15:A20)+$B$3)),INDEX(orderHistory[payed],SMALL(IF(ISNUMBER(MATCH(orderHistory[customer],$D$9,0)*MATCH(orderHistory[order_type],$D$13,0)),MATCH(ROW(orderHistory[customer]),ROW(orderHistory[customer])),""),ROWS($A$15:A20)+$B$3))),IF($D$13="",INDEX(orderHistory[payed],SMALL(IF(ISNUMBER(MATCH(orderHistory[customer],$D$9,0)*MATCH(orderHistory[status],$D$11,0)),MATCH(ROW(orderHistory[customer]),ROW(orderHistory[customer])),""),ROWS($A$15:A20)+$B$3)),INDEX(orderHistory[payed],SMALL(IF(ISNUMBER(MATCH(orderHistory[customer],$D$9,0)*MATCH(orderHistory[status],$D$11,0)*MATCH(orderHistory[order_type],$D$13,0)),MATCH(ROW(orderHistory[customer]),ROW(orderHistory[customer])),""),ROWS($A$15:A20)+$B$3))))),"")</f>
        <v>0</v>
      </c>
      <c r="U15" s="386" t="str">
        <f t="array" ref="U15">IFERROR(IF($D$9="",IF($D$11="",IF($D$13="",INDEX(orderHistory[shipping_method],SMALL(MATCH(ROW(orderHistory[customer]),ROW(orderHistory[customer])),ROWS($A$15:A20)+$B$3)),INDEX(orderHistory[shipping_method],SMALL(IF(ISNUMBER(MATCH(orderHistory[order_type],$D$13,0)),MATCH(ROW(orderHistory[customer]),ROW(orderHistory[customer])),""),ROWS($A$15:A20)+$B$3))),IF($D$13="",INDEX(orderHistory[shipping_method],SMALL(IF(ISNUMBER(MATCH(orderHistory[status],$D$11,0)),MATCH(ROW(orderHistory[customer]),ROW(orderHistory[customer])),""),ROWS($A$15:A20)+$B$3)),INDEX(orderHistory[shipping_method],SMALL(IF(ISNUMBER(MATCH(orderHistory[status],$D$11,0)*MATCH(orderHistory[order_type],$D$13,0)),MATCH(ROW(orderHistory[customer]),ROW(orderHistory[customer])),""),ROWS($A$15:A20)+$B$3)))),IF($D$11="",IF($D$13="",INDEX(orderHistory[shipping_method],SMALL(IF(ISNUMBER(MATCH(orderHistory[customer],$D$9,0)),MATCH(ROW(orderHistory[customer]),ROW(orderHistory[customer])),""),ROWS($A$15:A20)+$B$3)),INDEX(orderHistory[shipping_method],SMALL(IF(ISNUMBER(MATCH(orderHistory[customer],$D$9,0)*MATCH(orderHistory[order_type],$D$13,0)),MATCH(ROW(orderHistory[customer]),ROW(orderHistory[customer])),""),ROWS($A$15:A20)+$B$3))),IF($D$13="",INDEX(orderHistory[shipping_method],SMALL(IF(ISNUMBER(MATCH(orderHistory[customer],$D$9,0)*MATCH(orderHistory[status],$D$11,0)),MATCH(ROW(orderHistory[customer]),ROW(orderHistory[customer])),""),ROWS($A$15:A20)+$B$3)),INDEX(orderHistory[shipping_method],SMALL(IF(ISNUMBER(MATCH(orderHistory[customer],$D$9,0)*MATCH(orderHistory[status],$D$11,0)*MATCH(orderHistory[order_type],$D$13,0)),MATCH(ROW(orderHistory[customer]),ROW(orderHistory[customer])),""),ROWS($A$15:A20)+$B$3))))),"")</f>
        <v>BY ROAD</v>
      </c>
      <c r="V15" s="387" t="str">
        <f t="array" ref="V15">IFERROR(IF($D$9="",IF($D$11="",IF($D$13="",INDEX(orderHistory[status],SMALL(MATCH(ROW(orderHistory[customer]),ROW(orderHistory[customer])),ROWS($A$15:A20)+$B$3)),INDEX(orderHistory[status],SMALL(IF(ISNUMBER(MATCH(orderHistory[order_type],$D$13,0)),MATCH(ROW(orderHistory[customer]),ROW(orderHistory[customer])),""),ROWS($A$15:A20)+$B$3))),IF($D$13="",INDEX(orderHistory[status],SMALL(IF(ISNUMBER(MATCH(orderHistory[status],$D$11,0)),MATCH(ROW(orderHistory[customer]),ROW(orderHistory[customer])),""),ROWS($A$15:A20)+$B$3)),INDEX(orderHistory[status],SMALL(IF(ISNUMBER(MATCH(orderHistory[status],$D$11,0)*MATCH(orderHistory[order_type],$D$13,0)),MATCH(ROW(orderHistory[customer]),ROW(orderHistory[customer])),""),ROWS($A$15:A20)+$B$3)))),IF($D$11="",IF($D$13="",INDEX(orderHistory[status],SMALL(IF(ISNUMBER(MATCH(orderHistory[customer],$D$9,0)),MATCH(ROW(orderHistory[customer]),ROW(orderHistory[customer])),""),ROWS($A$15:A20)+$B$3)),INDEX(orderHistory[status],SMALL(IF(ISNUMBER(MATCH(orderHistory[customer],$D$9,0)*MATCH(orderHistory[order_type],$D$13,0)),MATCH(ROW(orderHistory[customer]),ROW(orderHistory[customer])),""),ROWS($A$15:A20)+$B$3))),IF($D$13="",INDEX(orderHistory[status],SMALL(IF(ISNUMBER(MATCH(orderHistory[customer],$D$9,0)*MATCH(orderHistory[status],$D$11,0)),MATCH(ROW(orderHistory[customer]),ROW(orderHistory[customer])),""),ROWS($A$15:A20)+$B$3)),INDEX(orderHistory[status],SMALL(IF(ISNUMBER(MATCH(orderHistory[customer],$D$9,0)*MATCH(orderHistory[status],$D$11,0)*MATCH(orderHistory[order_type],$D$13,0)),MATCH(ROW(orderHistory[customer]),ROW(orderHistory[customer])),""),ROWS($A$15:A20)+$B$3))))),"")</f>
        <v>SHIPPED</v>
      </c>
      <c r="W15" s="258"/>
      <c r="AQ15" s="129"/>
      <c r="AR15" s="261"/>
      <c r="AS15" s="261"/>
      <c r="AT15" s="261"/>
      <c r="AU15" s="123"/>
      <c r="AW15" s="125"/>
      <c r="AX15" s="192" t="str">
        <f>IF(AT39,AR39,"")</f>
        <v/>
      </c>
      <c r="AY15" s="120"/>
      <c r="AZ15" s="120"/>
      <c r="BA15" s="120"/>
      <c r="BB15" s="120"/>
      <c r="BC15" s="120"/>
      <c r="BD15" s="180"/>
      <c r="BE15" s="320"/>
      <c r="BF15" s="463"/>
      <c r="BG15" s="326"/>
      <c r="BH15" s="326"/>
      <c r="BI15" s="327"/>
      <c r="BJ15" s="321"/>
      <c r="BK15" s="330"/>
      <c r="BL15" s="147"/>
      <c r="BM15" s="148"/>
      <c r="BN15" s="147"/>
      <c r="BO15" s="148"/>
      <c r="BX15" s="272" t="str">
        <f>IF(BX9="","",AT13)</f>
        <v>SALE</v>
      </c>
      <c r="BZ15" s="304"/>
      <c r="CA15" s="270" t="str">
        <f>IF(BZ15="","",VLOOKUP(BZ15,bhpc_data[],7,FALSE))</f>
        <v/>
      </c>
      <c r="CB15" s="303"/>
      <c r="CC15" s="643"/>
      <c r="CD15" s="545"/>
      <c r="CE15" s="645"/>
      <c r="CF15" s="298"/>
      <c r="CG15" s="301" t="str">
        <f>IFERROR(ROUNDUP(CB15/VLOOKUP(BZ15,bhpc_data[],9,FALSE),0)+ROUNDUP(CD15/VLOOKUP(BZ15,bhpc_data[],9,FALSE),0),"")</f>
        <v/>
      </c>
      <c r="CH15" s="302" t="str">
        <f>IFERROR(ROUNDUP(CD15/VLOOKUP(BZ15,bhpc_data[],9,FALSE),0),"")</f>
        <v/>
      </c>
      <c r="CI15" s="302" t="str">
        <f>IFERROR(ROUNDUP(CF15/VLOOKUP(BZ15,bhpc_data[],9,FALSE),0),"")</f>
        <v/>
      </c>
      <c r="CJ15" s="302" t="str">
        <f>IFERROR(((CB15+CD15+CF15)/VLOOKUP(BZ15,bhpc_data[],9,FALSE))*VLOOKUP(BZ15,bhpc_data[],17,FALSE),"")</f>
        <v/>
      </c>
      <c r="CK15" s="302" t="str">
        <f>IFERROR(((CB15+CD15+CF15)/VLOOKUP(BZ15,bhpc_data[],9,FALSE))*VLOOKUP(BZ15,bhpc_data[],18,FALSE),"")</f>
        <v/>
      </c>
      <c r="CL15" s="346" t="str">
        <f>IFERROR((CB15+CD15)/VLOOKUP(BZ15,bhpc_data[],9,FALSE)*VLOOKUP(BZ15,bhpc_data[],14,FALSE)*VLOOKUP(BZ15,bhpc_data[],15,FALSE)*VLOOKUP(BZ15,bhpc_data[],16,FALSE)/1000000000,"")</f>
        <v/>
      </c>
      <c r="CM15" s="409" t="str">
        <f>IFERROR(VLOOKUP(BZ15,bhpc_data[],2,FALSE),"")</f>
        <v/>
      </c>
      <c r="CN15" s="409" t="str">
        <f>IFERROR(VLOOKUP(BZ15,bhpc_data[],19,FALSE),"")</f>
        <v/>
      </c>
      <c r="CO15" s="653" t="str">
        <f>IFERROR(VLOOKUP(BZ15,bhpc_data[],6,FALSE),"")</f>
        <v/>
      </c>
      <c r="CP15" s="654" t="str">
        <f>IFERROR(VLOOKUP(BZ15,inventory[],4,FALSE),"")</f>
        <v/>
      </c>
      <c r="CQ15" s="655" t="str">
        <f>IFERROR(IF(BZ15="","",IF($BX$15="SALE",VLOOKUP(BZ15,inventory[],5,FALSE),IF($BX$15="SAMPLING",VLOOKUP(BZ15,inventory[],5,FALSE),""))),"")</f>
        <v/>
      </c>
      <c r="CR15" s="656" t="str">
        <f>IFERROR(IF(BZ15="","",(CB15+CD15+CF15)*CQ15),"")</f>
        <v/>
      </c>
      <c r="CS15" s="557" t="str">
        <f>IF(BZ15="","",CB15*CC15+CD15*CE15)</f>
        <v/>
      </c>
      <c r="CU15" s="125"/>
      <c r="CV15" s="134" t="s">
        <v>693</v>
      </c>
      <c r="CW15" s="614">
        <f>SUM($CD$10:$CD$110)</f>
        <v>0</v>
      </c>
      <c r="CX15" s="663" t="s">
        <v>694</v>
      </c>
      <c r="CY15" s="617">
        <f>IF($BX$15="SUPPLY",0,CY11*7%)</f>
        <v>588.67200000000003</v>
      </c>
      <c r="CZ15" s="121"/>
      <c r="DA15" s="540" t="str">
        <f>IFERROR(VLOOKUP(BZ15,bhpc_data[],22,FALSE),"")</f>
        <v/>
      </c>
      <c r="DF15" s="206" t="s">
        <v>696</v>
      </c>
      <c r="EC15" s="272"/>
      <c r="EE15" s="453" t="s">
        <v>51</v>
      </c>
      <c r="EF15" s="447" t="str">
        <f>VLOOKUP(EE15,bhpc_data[],7,FALSE)</f>
        <v>BHPC GIFT SET WOMEN 9 EDP 50ML + DEO 150ML</v>
      </c>
      <c r="EG15" s="555">
        <f>IFERROR(VLOOKUP(EE15,inventory[],4,FALSE),0)</f>
        <v>303</v>
      </c>
      <c r="EH15" s="555">
        <f>IFERROR(VLOOKUP(warehouse[[#This Row],[SKU]],$EQ$10:$ES$38,3,FALSE),0)</f>
        <v>0</v>
      </c>
      <c r="EI15" s="555">
        <f>IFERROR(VLOOKUP(warehouse[[#This Row],[SKU]],$EM$10:$EO$61,3,FALSE),0)</f>
        <v>1386</v>
      </c>
      <c r="EJ15" s="555">
        <f>warehouse[[#This Row],[T-1]]+warehouse[[#This Row],[SUPPLY]]-warehouse[[#This Row],[SALE + SAMPLING]]</f>
        <v>-1083</v>
      </c>
      <c r="EM15" s="74" t="s">
        <v>42</v>
      </c>
      <c r="EN15" s="74" t="s">
        <v>43</v>
      </c>
      <c r="EO15" s="431">
        <v>1470</v>
      </c>
      <c r="EQ15" s="74" t="s">
        <v>82</v>
      </c>
      <c r="ER15" s="74" t="s">
        <v>83</v>
      </c>
      <c r="ES15" s="446">
        <v>4608</v>
      </c>
    </row>
    <row r="16" spans="1:702" ht="15" customHeight="1" thickBot="1">
      <c r="A16" s="278" t="s">
        <v>748</v>
      </c>
      <c r="B16" s="279">
        <v>45436.71533564815</v>
      </c>
      <c r="F16" s="156"/>
      <c r="G16" s="941"/>
      <c r="H16" s="942"/>
      <c r="I16" s="943"/>
      <c r="J16" s="121"/>
      <c r="L16" s="274" t="str">
        <f t="array" ref="L16">IFERROR(IF($D$9="",IF($D$11="",IF($D$13="",INDEX(orderHistory[customer],SMALL(MATCH(ROW(orderHistory[customer]),ROW(orderHistory[customer])),ROWS($A$15:A21)+$B$3)),INDEX(orderHistory[customer],SMALL(IF(ISNUMBER(MATCH(orderHistory[order_type],$D$13,0)),MATCH(ROW(orderHistory[customer]),ROW(orderHistory[customer])),""),ROWS($A$15:A21)+$B$3))),IF($D$13="",INDEX(orderHistory[customer],SMALL(IF(ISNUMBER(MATCH(orderHistory[status],$D$11,0)),MATCH(ROW(orderHistory[customer]),ROW(orderHistory[customer])),""),ROWS($A$15:A21)+$B$3)),INDEX(orderHistory[customer],SMALL(IF(ISNUMBER(MATCH(orderHistory[status],$D$11,0)*MATCH(orderHistory[order_type],$D$13,0)),MATCH(ROW(orderHistory[customer]),ROW(orderHistory[customer])),""),ROWS($A$15:A21)+$B$3)))),IF($D$11="",IF($D$13="",INDEX(orderHistory[customer],SMALL(IF(ISNUMBER(MATCH(orderHistory[customer],$D$9,0)),MATCH(ROW(orderHistory[customer]),ROW(orderHistory[customer])),""),ROWS($A$15:A21)+$B$3)),INDEX(orderHistory[customer],SMALL(IF(ISNUMBER(MATCH(orderHistory[customer],$D$9,0)*MATCH(orderHistory[order_type],$D$13,0)),MATCH(ROW(orderHistory[customer]),ROW(orderHistory[customer])),""),ROWS($A$15:A21)+$B$3))),IF($D$13="",INDEX(orderHistory[customer],SMALL(IF(ISNUMBER(MATCH(orderHistory[customer],$D$9,0)*MATCH(orderHistory[status],$D$11,0)),MATCH(ROW(orderHistory[customer]),ROW(orderHistory[customer])),""),ROWS($A$15:A21)+$B$3)),INDEX(orderHistory[customer],SMALL(IF(ISNUMBER(MATCH(orderHistory[customer],$D$9,0)*MATCH(orderHistory[status],$D$11,0)*MATCH(orderHistory[order_type],$D$13,0)),MATCH(ROW(orderHistory[customer]),ROW(orderHistory[customer])),""),ROWS($A$15:A21)+$B$3))))),"")</f>
        <v>LUXUM BEAUTY - ULM</v>
      </c>
      <c r="M16" s="391">
        <f t="array" ref="M16">IFERROR(IF($D$9="",IF($D$11="",IF($D$13="",INDEX(orderHistory[order_no],SMALL(MATCH(ROW(orderHistory[customer]),ROW(orderHistory[customer])),ROWS($A$15:A21)+$B$3)),INDEX(orderHistory[order_no],SMALL(IF(ISNUMBER(MATCH(orderHistory[order_type],$D$13,0)),MATCH(ROW(orderHistory[customer]),ROW(orderHistory[customer])),""),ROWS($A$15:A21)+$B$3))),IF($D$13="",INDEX(orderHistory[order_no],SMALL(IF(ISNUMBER(MATCH(orderHistory[status],$D$11,0)),MATCH(ROW(orderHistory[customer]),ROW(orderHistory[customer])),""),ROWS($A$15:A21)+$B$3)),INDEX(orderHistory[order_no],SMALL(IF(ISNUMBER(MATCH(orderHistory[status],$D$11,0)*MATCH(orderHistory[order_type],$D$13,0)),MATCH(ROW(orderHistory[customer]),ROW(orderHistory[customer])),""),ROWS($A$15:A21)+$B$3)))),IF($D$11="",IF($D$13="",INDEX(orderHistory[order_no],SMALL(IF(ISNUMBER(MATCH(orderHistory[customer],$D$9,0)),MATCH(ROW(orderHistory[customer]),ROW(orderHistory[customer])),""),ROWS($A$15:A21)+$B$3)),INDEX(orderHistory[order_no],SMALL(IF(ISNUMBER(MATCH(orderHistory[customer],$D$9,0)*MATCH(orderHistory[order_type],$D$13,0)),MATCH(ROW(orderHistory[customer]),ROW(orderHistory[customer])),""),ROWS($A$15:A21)+$B$3))),IF($D$13="",INDEX(orderHistory[order_no],SMALL(IF(ISNUMBER(MATCH(orderHistory[customer],$D$9,0)*MATCH(orderHistory[status],$D$11,0)),MATCH(ROW(orderHistory[customer]),ROW(orderHistory[customer])),""),ROWS($A$15:A21)+$B$3)),INDEX(orderHistory[order_no],SMALL(IF(ISNUMBER(MATCH(orderHistory[customer],$D$9,0)*MATCH(orderHistory[status],$D$11,0)*MATCH(orderHistory[order_type],$D$13,0)),MATCH(ROW(orderHistory[customer]),ROW(orderHistory[customer])),""),ROWS($A$15:A21)+$B$3))))),"")</f>
        <v>24</v>
      </c>
      <c r="N16" s="386" t="str">
        <f t="array" ref="N16">IFERROR(IF($D$9="",IF($D$11="",IF($D$13="",INDEX(orderHistory[order_type],SMALL(MATCH(ROW(orderHistory[customer]),ROW(orderHistory[customer])),ROWS($A$15:A21)+$B$3)),INDEX(orderHistory[order_type],SMALL(IF(ISNUMBER(MATCH(orderHistory[order_type],$D$13,0)),MATCH(ROW(orderHistory[customer]),ROW(orderHistory[customer])),""),ROWS($A$15:A21)+$B$3))),IF($D$13="",INDEX(orderHistory[order_type],SMALL(IF(ISNUMBER(MATCH(orderHistory[status],$D$11,0)),MATCH(ROW(orderHistory[customer]),ROW(orderHistory[customer])),""),ROWS($A$15:A21)+$B$3)),INDEX(orderHistory[order_type],SMALL(IF(ISNUMBER(MATCH(orderHistory[status],$D$11,0)*MATCH(orderHistory[order_type],$D$13,0)),MATCH(ROW(orderHistory[customer]),ROW(orderHistory[customer])),""),ROWS($A$15:A21)+$B$3)))),IF($D$11="",IF($D$13="",INDEX(orderHistory[order_type],SMALL(IF(ISNUMBER(MATCH(orderHistory[customer],$D$9,0)),MATCH(ROW(orderHistory[customer]),ROW(orderHistory[customer])),""),ROWS($A$15:A21)+$B$3)),INDEX(orderHistory[order_type],SMALL(IF(ISNUMBER(MATCH(orderHistory[customer],$D$9,0)*MATCH(orderHistory[order_type],$D$13,0)),MATCH(ROW(orderHistory[customer]),ROW(orderHistory[customer])),""),ROWS($A$15:A21)+$B$3))),IF($D$13="",INDEX(orderHistory[order_type],SMALL(IF(ISNUMBER(MATCH(orderHistory[customer],$D$9,0)*MATCH(orderHistory[status],$D$11,0)),MATCH(ROW(orderHistory[customer]),ROW(orderHistory[customer])),""),ROWS($A$15:A21)+$B$3)),INDEX(orderHistory[order_type],SMALL(IF(ISNUMBER(MATCH(orderHistory[customer],$D$9,0)*MATCH(orderHistory[status],$D$11,0)*MATCH(orderHistory[order_type],$D$13,0)),MATCH(ROW(orderHistory[customer]),ROW(orderHistory[customer])),""),ROWS($A$15:A21)+$B$3))))),"")</f>
        <v>SALE</v>
      </c>
      <c r="O16" s="275">
        <f t="array" ref="O16">IFERROR(IF($D$9="",IF($D$11="",IF($D$13="",INDEX(orderHistory[order_date],SMALL(MATCH(ROW(orderHistory[customer]),ROW(orderHistory[customer])),ROWS($A$15:A21)+$B$3)),INDEX(orderHistory[order_date],SMALL(IF(ISNUMBER(MATCH(orderHistory[order_type],$D$13,0)),MATCH(ROW(orderHistory[customer]),ROW(orderHistory[customer])),""),ROWS($A$15:A21)+$B$3))),IF($D$13="",INDEX(orderHistory[order_date],SMALL(IF(ISNUMBER(MATCH(orderHistory[status],$D$11,0)),MATCH(ROW(orderHistory[customer]),ROW(orderHistory[customer])),""),ROWS($A$15:A21)+$B$3)),INDEX(orderHistory[order_date],SMALL(IF(ISNUMBER(MATCH(orderHistory[status],$D$11,0)*MATCH(orderHistory[order_type],$D$13,0)),MATCH(ROW(orderHistory[customer]),ROW(orderHistory[customer])),""),ROWS($A$15:A21)+$B$3)))),IF($D$11="",IF($D$13="",INDEX(orderHistory[order_date],SMALL(IF(ISNUMBER(MATCH(orderHistory[customer],$D$9,0)),MATCH(ROW(orderHistory[customer]),ROW(orderHistory[customer])),""),ROWS($A$15:A21)+$B$3)),INDEX(orderHistory[order_date],SMALL(IF(ISNUMBER(MATCH(orderHistory[customer],$D$9,0)*MATCH(orderHistory[order_type],$D$13,0)),MATCH(ROW(orderHistory[customer]),ROW(orderHistory[customer])),""),ROWS($A$15:A21)+$B$3))),IF($D$13="",INDEX(orderHistory[order_date],SMALL(IF(ISNUMBER(MATCH(orderHistory[customer],$D$9,0)*MATCH(orderHistory[status],$D$11,0)),MATCH(ROW(orderHistory[customer]),ROW(orderHistory[customer])),""),ROWS($A$15:A21)+$B$3)),INDEX(orderHistory[order_date],SMALL(IF(ISNUMBER(MATCH(orderHistory[customer],$D$9,0)*MATCH(orderHistory[status],$D$11,0)*MATCH(orderHistory[order_type],$D$13,0)),MATCH(ROW(orderHistory[customer]),ROW(orderHistory[customer])),""),ROWS($A$15:A21)+$B$3))))),"")</f>
        <v>45390</v>
      </c>
      <c r="P16" s="379">
        <f t="array" ref="P16">IF(IFERROR(IF($D$9="",IF($D$11="",IF($D$13="",INDEX(orderHistory[invoice_no],SMALL(MATCH(ROW(orderHistory[customer]),ROW(orderHistory[customer])),ROWS($A$15:A21)+$B$3)),INDEX(orderHistory[invoice_no],SMALL(IF(ISNUMBER(MATCH(orderHistory[order_type],$D$13,0)),MATCH(ROW(orderHistory[customer]),ROW(orderHistory[customer])),""),ROWS($A$15:A21)+$B$3))),IF($D$13="",INDEX(orderHistory[invoice_no],SMALL(IF(ISNUMBER(MATCH(orderHistory[status],$D$11,0)),MATCH(ROW(orderHistory[customer]),ROW(orderHistory[customer])),""),ROWS($A$15:A21)+$B$3)),INDEX(orderHistory[invoice_no],SMALL(IF(ISNUMBER(MATCH(orderHistory[status],$D$11,0)*MATCH(orderHistory[order_type],$D$13,0)),MATCH(ROW(orderHistory[customer]),ROW(orderHistory[customer])),""),ROWS($A$15:A21)+$B$3)))),IF($D$11="",IF($D$13="",INDEX(orderHistory[invoice_no],SMALL(IF(ISNUMBER(MATCH(orderHistory[customer],$D$9,0)),MATCH(ROW(orderHistory[customer]),ROW(orderHistory[customer])),""),ROWS($A$15:A21)+$B$3)),INDEX(orderHistory[invoice_no],SMALL(IF(ISNUMBER(MATCH(orderHistory[customer],$D$9,0)*MATCH(orderHistory[order_type],$D$13,0)),MATCH(ROW(orderHistory[customer]),ROW(orderHistory[customer])),""),ROWS($A$15:A21)+$B$3))),IF($D$13="",INDEX(orderHistory[invoice_no],SMALL(IF(ISNUMBER(MATCH(orderHistory[customer],$D$9,0)*MATCH(orderHistory[status],$D$11,0)),MATCH(ROW(orderHistory[customer]),ROW(orderHistory[customer])),""),ROWS($A$15:A21)+$B$3)),INDEX(orderHistory[invoice_no],SMALL(IF(ISNUMBER(MATCH(orderHistory[customer],$D$9,0)*MATCH(orderHistory[status],$D$11,0)*MATCH(orderHistory[order_type],$D$13,0)),MATCH(ROW(orderHistory[customer]),ROW(orderHistory[customer])),""),ROWS($A$15:A21)+$B$3))))),"")=0,"",IFERROR(IF($D$9="",IF($D$11="",IF($D$13="",INDEX(orderHistory[invoice_no],SMALL(MATCH(ROW(orderHistory[customer]),ROW(orderHistory[customer])),ROWS($A$15:A21)+$B$3)),INDEX(orderHistory[invoice_no],SMALL(IF(ISNUMBER(MATCH(orderHistory[order_type],$D$13,0)),MATCH(ROW(orderHistory[customer]),ROW(orderHistory[customer])),""),ROWS($A$15:A21)+$B$3))),IF($D$13="",INDEX(orderHistory[invoice_no],SMALL(IF(ISNUMBER(MATCH(orderHistory[status],$D$11,0)),MATCH(ROW(orderHistory[customer]),ROW(orderHistory[customer])),""),ROWS($A$15:A21)+$B$3)),INDEX(orderHistory[invoice_no],SMALL(IF(ISNUMBER(MATCH(orderHistory[status],$D$11,0)*MATCH(orderHistory[order_type],$D$13,0)),MATCH(ROW(orderHistory[customer]),ROW(orderHistory[customer])),""),ROWS($A$15:A21)+$B$3)))),IF($D$11="",IF($D$13="",INDEX(orderHistory[invoice_no],SMALL(IF(ISNUMBER(MATCH(orderHistory[customer],$D$9,0)),MATCH(ROW(orderHistory[customer]),ROW(orderHistory[customer])),""),ROWS($A$15:A21)+$B$3)),INDEX(orderHistory[invoice_no],SMALL(IF(ISNUMBER(MATCH(orderHistory[customer],$D$9,0)*MATCH(orderHistory[order_type],$D$13,0)),MATCH(ROW(orderHistory[customer]),ROW(orderHistory[customer])),""),ROWS($A$15:A21)+$B$3))),IF($D$13="",INDEX(orderHistory[invoice_no],SMALL(IF(ISNUMBER(MATCH(orderHistory[customer],$D$9,0)*MATCH(orderHistory[status],$D$11,0)),MATCH(ROW(orderHistory[customer]),ROW(orderHistory[customer])),""),ROWS($A$15:A21)+$B$3)),INDEX(orderHistory[invoice_no],SMALL(IF(ISNUMBER(MATCH(orderHistory[customer],$D$9,0)*MATCH(orderHistory[status],$D$11,0)*MATCH(orderHistory[order_type],$D$13,0)),MATCH(ROW(orderHistory[customer]),ROW(orderHistory[customer])),""),ROWS($A$15:A21)+$B$3))))),""))</f>
        <v>113</v>
      </c>
      <c r="Q16" s="381">
        <f t="array" ref="Q16">IF(IFERROR(IF($D$9="",IF($D$11="",IF($D$13="",INDEX(orderHistory[invoice_date],SMALL(MATCH(ROW(orderHistory[customer]),ROW(orderHistory[customer])),ROWS($A$15:A21)+$B$3)),INDEX(orderHistory[invoice_date],SMALL(IF(ISNUMBER(MATCH(orderHistory[order_type],$D$13,0)),MATCH(ROW(orderHistory[customer]),ROW(orderHistory[customer])),""),ROWS($A$15:A21)+$B$3))),IF($D$13="",INDEX(orderHistory[invoice_date],SMALL(IF(ISNUMBER(MATCH(orderHistory[status],$D$11,0)),MATCH(ROW(orderHistory[customer]),ROW(orderHistory[customer])),""),ROWS($A$15:A21)+$B$3)),INDEX(orderHistory[invoice_date],SMALL(IF(ISNUMBER(MATCH(orderHistory[status],$D$11,0)*MATCH(orderHistory[order_type],$D$13,0)),MATCH(ROW(orderHistory[customer]),ROW(orderHistory[customer])),""),ROWS($A$15:A21)+$B$3)))),IF($D$11="",IF($D$13="",INDEX(orderHistory[invoice_date],SMALL(IF(ISNUMBER(MATCH(orderHistory[customer],$D$9,0)),MATCH(ROW(orderHistory[customer]),ROW(orderHistory[customer])),""),ROWS($A$15:A21)+$B$3)),INDEX(orderHistory[invoice_date],SMALL(IF(ISNUMBER(MATCH(orderHistory[customer],$D$9,0)*MATCH(orderHistory[order_type],$D$13,0)),MATCH(ROW(orderHistory[customer]),ROW(orderHistory[customer])),""),ROWS($A$15:A21)+$B$3))),IF($D$13="",INDEX(orderHistory[invoice_date],SMALL(IF(ISNUMBER(MATCH(orderHistory[customer],$D$9,0)*MATCH(orderHistory[status],$D$11,0)),MATCH(ROW(orderHistory[customer]),ROW(orderHistory[customer])),""),ROWS($A$15:A21)+$B$3)),INDEX(orderHistory[invoice_date],SMALL(IF(ISNUMBER(MATCH(orderHistory[customer],$D$9,0)*MATCH(orderHistory[status],$D$11,0)*MATCH(orderHistory[order_type],$D$13,0)),MATCH(ROW(orderHistory[customer]),ROW(orderHistory[customer])),""),ROWS($A$15:A21)+$B$3))))),"")=0,"",IFERROR(IF($D$9="",IF($D$11="",IF($D$13="",INDEX(orderHistory[invoice_date],SMALL(MATCH(ROW(orderHistory[customer]),ROW(orderHistory[customer])),ROWS($A$15:A21)+$B$3)),INDEX(orderHistory[invoice_date],SMALL(IF(ISNUMBER(MATCH(orderHistory[order_type],$D$13,0)),MATCH(ROW(orderHistory[customer]),ROW(orderHistory[customer])),""),ROWS($A$15:A21)+$B$3))),IF($D$13="",INDEX(orderHistory[invoice_date],SMALL(IF(ISNUMBER(MATCH(orderHistory[status],$D$11,0)),MATCH(ROW(orderHistory[customer]),ROW(orderHistory[customer])),""),ROWS($A$15:A21)+$B$3)),INDEX(orderHistory[invoice_date],SMALL(IF(ISNUMBER(MATCH(orderHistory[status],$D$11,0)*MATCH(orderHistory[order_type],$D$13,0)),MATCH(ROW(orderHistory[customer]),ROW(orderHistory[customer])),""),ROWS($A$15:A21)+$B$3)))),IF($D$11="",IF($D$13="",INDEX(orderHistory[invoice_date],SMALL(IF(ISNUMBER(MATCH(orderHistory[customer],$D$9,0)),MATCH(ROW(orderHistory[customer]),ROW(orderHistory[customer])),""),ROWS($A$15:A21)+$B$3)),INDEX(orderHistory[invoice_date],SMALL(IF(ISNUMBER(MATCH(orderHistory[customer],$D$9,0)*MATCH(orderHistory[order_type],$D$13,0)),MATCH(ROW(orderHistory[customer]),ROW(orderHistory[customer])),""),ROWS($A$15:A21)+$B$3))),IF($D$13="",INDEX(orderHistory[invoice_date],SMALL(IF(ISNUMBER(MATCH(orderHistory[customer],$D$9,0)*MATCH(orderHistory[status],$D$11,0)),MATCH(ROW(orderHistory[customer]),ROW(orderHistory[customer])),""),ROWS($A$15:A21)+$B$3)),INDEX(orderHistory[invoice_date],SMALL(IF(ISNUMBER(MATCH(orderHistory[customer],$D$9,0)*MATCH(orderHistory[status],$D$11,0)*MATCH(orderHistory[order_type],$D$13,0)),MATCH(ROW(orderHistory[customer]),ROW(orderHistory[customer])),""),ROWS($A$15:A21)+$B$3))))),""))</f>
        <v>45386</v>
      </c>
      <c r="R16" s="377">
        <f t="array" ref="R16">IFERROR(IF($D$9="",IF($D$11="",IF($D$13="",INDEX(orderHistory[inv_amount],SMALL(MATCH(ROW(orderHistory[customer]),ROW(orderHistory[customer])),ROWS($A$15:A21)+$B$3)),INDEX(orderHistory[inv_amount],SMALL(IF(ISNUMBER(MATCH(orderHistory[order_type],$D$13,0)),MATCH(ROW(orderHistory[customer]),ROW(orderHistory[customer])),""),ROWS($A$15:A21)+$B$3))),IF($D$13="",INDEX(orderHistory[inv_amount],SMALL(IF(ISNUMBER(MATCH(orderHistory[status],$D$11,0)),MATCH(ROW(orderHistory[customer]),ROW(orderHistory[customer])),""),ROWS($A$15:A21)+$B$3)),INDEX(orderHistory[inv_amount],SMALL(IF(ISNUMBER(MATCH(orderHistory[status],$D$11,0)*MATCH(orderHistory[order_type],$D$13,0)),MATCH(ROW(orderHistory[customer]),ROW(orderHistory[customer])),""),ROWS($A$15:A21)+$B$3)))),IF($D$11="",IF($D$13="",INDEX(orderHistory[inv_amount],SMALL(IF(ISNUMBER(MATCH(orderHistory[customer],$D$9,0)),MATCH(ROW(orderHistory[customer]),ROW(orderHistory[customer])),""),ROWS($A$15:A21)+$B$3)),INDEX(orderHistory[inv_amount],SMALL(IF(ISNUMBER(MATCH(orderHistory[customer],$D$9,0)*MATCH(orderHistory[order_type],$D$13,0)),MATCH(ROW(orderHistory[customer]),ROW(orderHistory[customer])),""),ROWS($A$15:A21)+$B$3))),IF($D$13="",INDEX(orderHistory[inv_amount],SMALL(IF(ISNUMBER(MATCH(orderHistory[customer],$D$9,0)*MATCH(orderHistory[status],$D$11,0)),MATCH(ROW(orderHistory[customer]),ROW(orderHistory[customer])),""),ROWS($A$15:A21)+$B$3)),INDEX(orderHistory[inv_amount],SMALL(IF(ISNUMBER(MATCH(orderHistory[customer],$D$9,0)*MATCH(orderHistory[status],$D$11,0)*MATCH(orderHistory[order_type],$D$13,0)),MATCH(ROW(orderHistory[customer]),ROW(orderHistory[customer])),""),ROWS($A$15:A21)+$B$3))))),"")</f>
        <v>67500</v>
      </c>
      <c r="S16" s="383">
        <f t="shared" si="0"/>
        <v>4725</v>
      </c>
      <c r="T16" s="385" t="b">
        <f t="array" ref="T16">IFERROR(IF($D$9="",IF($D$11="",IF($D$13="",INDEX(orderHistory[payed],SMALL(MATCH(ROW(orderHistory[customer]),ROW(orderHistory[customer])),ROWS($A$15:A21)+$B$3)),INDEX(orderHistory[payed],SMALL(IF(ISNUMBER(MATCH(orderHistory[order_type],$D$13,0)),MATCH(ROW(orderHistory[customer]),ROW(orderHistory[customer])),""),ROWS($A$15:A21)+$B$3))),IF($D$13="",INDEX(orderHistory[payed],SMALL(IF(ISNUMBER(MATCH(orderHistory[status],$D$11,0)),MATCH(ROW(orderHistory[customer]),ROW(orderHistory[customer])),""),ROWS($A$15:A21)+$B$3)),INDEX(orderHistory[payed],SMALL(IF(ISNUMBER(MATCH(orderHistory[status],$D$11,0)*MATCH(orderHistory[order_type],$D$13,0)),MATCH(ROW(orderHistory[customer]),ROW(orderHistory[customer])),""),ROWS($A$15:A21)+$B$3)))),IF($D$11="",IF($D$13="",INDEX(orderHistory[payed],SMALL(IF(ISNUMBER(MATCH(orderHistory[customer],$D$9,0)),MATCH(ROW(orderHistory[customer]),ROW(orderHistory[customer])),""),ROWS($A$15:A21)+$B$3)),INDEX(orderHistory[payed],SMALL(IF(ISNUMBER(MATCH(orderHistory[customer],$D$9,0)*MATCH(orderHistory[order_type],$D$13,0)),MATCH(ROW(orderHistory[customer]),ROW(orderHistory[customer])),""),ROWS($A$15:A21)+$B$3))),IF($D$13="",INDEX(orderHistory[payed],SMALL(IF(ISNUMBER(MATCH(orderHistory[customer],$D$9,0)*MATCH(orderHistory[status],$D$11,0)),MATCH(ROW(orderHistory[customer]),ROW(orderHistory[customer])),""),ROWS($A$15:A21)+$B$3)),INDEX(orderHistory[payed],SMALL(IF(ISNUMBER(MATCH(orderHistory[customer],$D$9,0)*MATCH(orderHistory[status],$D$11,0)*MATCH(orderHistory[order_type],$D$13,0)),MATCH(ROW(orderHistory[customer]),ROW(orderHistory[customer])),""),ROWS($A$15:A21)+$B$3))))),"")</f>
        <v>1</v>
      </c>
      <c r="U16" s="386" t="str">
        <f t="array" ref="U16">IFERROR(IF($D$9="",IF($D$11="",IF($D$13="",INDEX(orderHistory[shipping_method],SMALL(MATCH(ROW(orderHistory[customer]),ROW(orderHistory[customer])),ROWS($A$15:A21)+$B$3)),INDEX(orderHistory[shipping_method],SMALL(IF(ISNUMBER(MATCH(orderHistory[order_type],$D$13,0)),MATCH(ROW(orderHistory[customer]),ROW(orderHistory[customer])),""),ROWS($A$15:A21)+$B$3))),IF($D$13="",INDEX(orderHistory[shipping_method],SMALL(IF(ISNUMBER(MATCH(orderHistory[status],$D$11,0)),MATCH(ROW(orderHistory[customer]),ROW(orderHistory[customer])),""),ROWS($A$15:A21)+$B$3)),INDEX(orderHistory[shipping_method],SMALL(IF(ISNUMBER(MATCH(orderHistory[status],$D$11,0)*MATCH(orderHistory[order_type],$D$13,0)),MATCH(ROW(orderHistory[customer]),ROW(orderHistory[customer])),""),ROWS($A$15:A21)+$B$3)))),IF($D$11="",IF($D$13="",INDEX(orderHistory[shipping_method],SMALL(IF(ISNUMBER(MATCH(orderHistory[customer],$D$9,0)),MATCH(ROW(orderHistory[customer]),ROW(orderHistory[customer])),""),ROWS($A$15:A21)+$B$3)),INDEX(orderHistory[shipping_method],SMALL(IF(ISNUMBER(MATCH(orderHistory[customer],$D$9,0)*MATCH(orderHistory[order_type],$D$13,0)),MATCH(ROW(orderHistory[customer]),ROW(orderHistory[customer])),""),ROWS($A$15:A21)+$B$3))),IF($D$13="",INDEX(orderHistory[shipping_method],SMALL(IF(ISNUMBER(MATCH(orderHistory[customer],$D$9,0)*MATCH(orderHistory[status],$D$11,0)),MATCH(ROW(orderHistory[customer]),ROW(orderHistory[customer])),""),ROWS($A$15:A21)+$B$3)),INDEX(orderHistory[shipping_method],SMALL(IF(ISNUMBER(MATCH(orderHistory[customer],$D$9,0)*MATCH(orderHistory[status],$D$11,0)*MATCH(orderHistory[order_type],$D$13,0)),MATCH(ROW(orderHistory[customer]),ROW(orderHistory[customer])),""),ROWS($A$15:A21)+$B$3))))),"")</f>
        <v>BY ROAD</v>
      </c>
      <c r="V16" s="387" t="str">
        <f t="array" ref="V16">IFERROR(IF($D$9="",IF($D$11="",IF($D$13="",INDEX(orderHistory[status],SMALL(MATCH(ROW(orderHistory[customer]),ROW(orderHistory[customer])),ROWS($A$15:A21)+$B$3)),INDEX(orderHistory[status],SMALL(IF(ISNUMBER(MATCH(orderHistory[order_type],$D$13,0)),MATCH(ROW(orderHistory[customer]),ROW(orderHistory[customer])),""),ROWS($A$15:A21)+$B$3))),IF($D$13="",INDEX(orderHistory[status],SMALL(IF(ISNUMBER(MATCH(orderHistory[status],$D$11,0)),MATCH(ROW(orderHistory[customer]),ROW(orderHistory[customer])),""),ROWS($A$15:A21)+$B$3)),INDEX(orderHistory[status],SMALL(IF(ISNUMBER(MATCH(orderHistory[status],$D$11,0)*MATCH(orderHistory[order_type],$D$13,0)),MATCH(ROW(orderHistory[customer]),ROW(orderHistory[customer])),""),ROWS($A$15:A21)+$B$3)))),IF($D$11="",IF($D$13="",INDEX(orderHistory[status],SMALL(IF(ISNUMBER(MATCH(orderHistory[customer],$D$9,0)),MATCH(ROW(orderHistory[customer]),ROW(orderHistory[customer])),""),ROWS($A$15:A21)+$B$3)),INDEX(orderHistory[status],SMALL(IF(ISNUMBER(MATCH(orderHistory[customer],$D$9,0)*MATCH(orderHistory[order_type],$D$13,0)),MATCH(ROW(orderHistory[customer]),ROW(orderHistory[customer])),""),ROWS($A$15:A21)+$B$3))),IF($D$13="",INDEX(orderHistory[status],SMALL(IF(ISNUMBER(MATCH(orderHistory[customer],$D$9,0)*MATCH(orderHistory[status],$D$11,0)),MATCH(ROW(orderHistory[customer]),ROW(orderHistory[customer])),""),ROWS($A$15:A21)+$B$3)),INDEX(orderHistory[status],SMALL(IF(ISNUMBER(MATCH(orderHistory[customer],$D$9,0)*MATCH(orderHistory[status],$D$11,0)*MATCH(orderHistory[order_type],$D$13,0)),MATCH(ROW(orderHistory[customer]),ROW(orderHistory[customer])),""),ROWS($A$15:A21)+$B$3))))),"")</f>
        <v>SHIPPED</v>
      </c>
      <c r="W16" s="257"/>
      <c r="AO16" s="74"/>
      <c r="AQ16" s="71" t="s">
        <v>697</v>
      </c>
      <c r="AR16" s="114"/>
      <c r="AS16" s="114"/>
      <c r="AT16" s="114"/>
      <c r="AW16" s="125"/>
      <c r="AX16" s="162" t="s">
        <v>698</v>
      </c>
      <c r="AY16" s="120"/>
      <c r="AZ16" s="175" t="s">
        <v>699</v>
      </c>
      <c r="BA16" s="120"/>
      <c r="BB16" s="120"/>
      <c r="BC16" s="120"/>
      <c r="BD16" s="180"/>
      <c r="BE16" s="322"/>
      <c r="BF16" s="323"/>
      <c r="BG16" s="324"/>
      <c r="BH16" s="323"/>
      <c r="BI16" s="323"/>
      <c r="BJ16" s="325"/>
      <c r="BK16" s="330"/>
      <c r="BL16" s="147"/>
      <c r="BM16" s="148"/>
      <c r="BN16" s="147"/>
      <c r="BO16" s="148"/>
      <c r="BZ16" s="304"/>
      <c r="CA16" s="270" t="str">
        <f>IF(BZ16="","",VLOOKUP(BZ16,bhpc_data[],7,FALSE))</f>
        <v/>
      </c>
      <c r="CB16" s="296"/>
      <c r="CC16" s="643"/>
      <c r="CD16" s="545"/>
      <c r="CE16" s="645"/>
      <c r="CF16" s="298"/>
      <c r="CG16" s="301" t="str">
        <f>IFERROR(ROUNDUP(CB16/VLOOKUP(BZ16,bhpc_data[],9,FALSE),0)+ROUNDUP(CD16/VLOOKUP(BZ16,bhpc_data[],9,FALSE),0),"")</f>
        <v/>
      </c>
      <c r="CH16" s="302" t="str">
        <f>IFERROR(ROUNDUP(CD16/VLOOKUP(BZ16,bhpc_data[],9,FALSE),0),"")</f>
        <v/>
      </c>
      <c r="CI16" s="302" t="str">
        <f>IFERROR(ROUNDUP(CF16/VLOOKUP(BZ16,bhpc_data[],9,FALSE),0),"")</f>
        <v/>
      </c>
      <c r="CJ16" s="302" t="str">
        <f>IFERROR(((CB16+CD16+CF16)/VLOOKUP(BZ16,bhpc_data[],9,FALSE))*VLOOKUP(BZ16,bhpc_data[],17,FALSE),"")</f>
        <v/>
      </c>
      <c r="CK16" s="302" t="str">
        <f>IFERROR(((CB16+CD16+CF16)/VLOOKUP(BZ16,bhpc_data[],9,FALSE))*VLOOKUP(BZ16,bhpc_data[],18,FALSE),"")</f>
        <v/>
      </c>
      <c r="CL16" s="346" t="str">
        <f>IFERROR((CB16+CD16)/VLOOKUP(BZ16,bhpc_data[],9,FALSE)*VLOOKUP(BZ16,bhpc_data[],14,FALSE)*VLOOKUP(BZ16,bhpc_data[],15,FALSE)*VLOOKUP(BZ16,bhpc_data[],16,FALSE)/1000000000,"")</f>
        <v/>
      </c>
      <c r="CM16" s="409" t="str">
        <f>IFERROR(VLOOKUP(BZ16,bhpc_data[],2,FALSE),"")</f>
        <v/>
      </c>
      <c r="CN16" s="409" t="str">
        <f>IFERROR(VLOOKUP(BZ16,bhpc_data[],19,FALSE),"")</f>
        <v/>
      </c>
      <c r="CO16" s="653" t="str">
        <f>IFERROR(VLOOKUP(BZ16,bhpc_data[],6,FALSE),"")</f>
        <v/>
      </c>
      <c r="CP16" s="654" t="str">
        <f>IFERROR(VLOOKUP(BZ16,inventory[],4,FALSE),"")</f>
        <v/>
      </c>
      <c r="CQ16" s="651" t="str">
        <f>IFERROR(IF(BZ16="","",IF($BX$15="SALE",VLOOKUP(BZ16,inventory[],5,FALSE),IF($BX$15="SAMPLING",VLOOKUP(BZ16,inventory[],5,FALSE),""))),"")</f>
        <v/>
      </c>
      <c r="CR16" s="652" t="str">
        <f>IFERROR(IF(BZ16="","",(CB16+CD16+CF16)*CQ16),"")</f>
        <v/>
      </c>
      <c r="CS16" s="557" t="str">
        <f>IF(BZ16="","",CB16*CC16+CD16*CE16)</f>
        <v/>
      </c>
      <c r="CU16" s="125"/>
      <c r="CV16" s="134" t="s">
        <v>695</v>
      </c>
      <c r="CW16" s="614">
        <f>SUM(CF10:CF110)</f>
        <v>0</v>
      </c>
      <c r="CX16" s="134"/>
      <c r="CY16" s="120"/>
      <c r="CZ16" s="121"/>
      <c r="DA16" s="540" t="str">
        <f>IFERROR(VLOOKUP(BZ16,bhpc_data[],22,FALSE),"")</f>
        <v/>
      </c>
      <c r="DF16" s="169"/>
      <c r="DG16" s="118"/>
      <c r="DH16" s="161"/>
      <c r="DI16" s="118"/>
      <c r="DJ16" s="118"/>
      <c r="DK16" s="118"/>
      <c r="DL16" s="118"/>
      <c r="DM16" s="118"/>
      <c r="DN16" s="118"/>
      <c r="DO16" s="118"/>
      <c r="DP16" s="118"/>
      <c r="DQ16" s="118"/>
      <c r="DR16" s="118"/>
      <c r="DS16" s="118"/>
      <c r="DT16" s="118"/>
      <c r="DU16" s="118"/>
      <c r="DV16" s="119"/>
      <c r="EE16" s="453" t="s">
        <v>53</v>
      </c>
      <c r="EF16" s="447" t="str">
        <f>VLOOKUP(EE16,bhpc_data[],7,FALSE)</f>
        <v>BHPC GIFT SET WOMEN 8 EDP 50ML + DEO 150ML</v>
      </c>
      <c r="EG16" s="555">
        <f>IFERROR(VLOOKUP(EE16,inventory[],4,FALSE),0)</f>
        <v>497</v>
      </c>
      <c r="EH16" s="555">
        <f>IFERROR(VLOOKUP(warehouse[[#This Row],[SKU]],$EQ$10:$ES$38,3,FALSE),0)</f>
        <v>0</v>
      </c>
      <c r="EI16" s="555">
        <f>IFERROR(VLOOKUP(warehouse[[#This Row],[SKU]],$EM$10:$EO$61,3,FALSE),0)</f>
        <v>1362</v>
      </c>
      <c r="EJ16" s="555">
        <f>warehouse[[#This Row],[T-1]]+warehouse[[#This Row],[SUPPLY]]-warehouse[[#This Row],[SALE + SAMPLING]]</f>
        <v>-865</v>
      </c>
      <c r="EM16" s="74" t="s">
        <v>44</v>
      </c>
      <c r="EN16" s="74" t="s">
        <v>45</v>
      </c>
      <c r="EO16" s="431">
        <v>3006</v>
      </c>
      <c r="EQ16" s="74" t="s">
        <v>169</v>
      </c>
      <c r="ER16" s="74" t="s">
        <v>172</v>
      </c>
      <c r="ES16" s="446">
        <v>3840</v>
      </c>
    </row>
    <row r="17" spans="1:149" ht="15" customHeight="1" thickBot="1">
      <c r="A17" s="278" t="s">
        <v>750</v>
      </c>
      <c r="B17" s="279">
        <v>45349.332673611112</v>
      </c>
      <c r="F17" s="154"/>
      <c r="G17" s="162" t="s">
        <v>701</v>
      </c>
      <c r="H17" s="120"/>
      <c r="I17" s="120"/>
      <c r="J17" s="121"/>
      <c r="L17" s="274" t="str">
        <f t="array" ref="L17">IFERROR(IF($D$9="",IF($D$11="",IF($D$13="",INDEX(orderHistory[customer],SMALL(MATCH(ROW(orderHistory[customer]),ROW(orderHistory[customer])),ROWS($A$15:A22)+$B$3)),INDEX(orderHistory[customer],SMALL(IF(ISNUMBER(MATCH(orderHistory[order_type],$D$13,0)),MATCH(ROW(orderHistory[customer]),ROW(orderHistory[customer])),""),ROWS($A$15:A22)+$B$3))),IF($D$13="",INDEX(orderHistory[customer],SMALL(IF(ISNUMBER(MATCH(orderHistory[status],$D$11,0)),MATCH(ROW(orderHistory[customer]),ROW(orderHistory[customer])),""),ROWS($A$15:A22)+$B$3)),INDEX(orderHistory[customer],SMALL(IF(ISNUMBER(MATCH(orderHistory[status],$D$11,0)*MATCH(orderHistory[order_type],$D$13,0)),MATCH(ROW(orderHistory[customer]),ROW(orderHistory[customer])),""),ROWS($A$15:A22)+$B$3)))),IF($D$11="",IF($D$13="",INDEX(orderHistory[customer],SMALL(IF(ISNUMBER(MATCH(orderHistory[customer],$D$9,0)),MATCH(ROW(orderHistory[customer]),ROW(orderHistory[customer])),""),ROWS($A$15:A22)+$B$3)),INDEX(orderHistory[customer],SMALL(IF(ISNUMBER(MATCH(orderHistory[customer],$D$9,0)*MATCH(orderHistory[order_type],$D$13,0)),MATCH(ROW(orderHistory[customer]),ROW(orderHistory[customer])),""),ROWS($A$15:A22)+$B$3))),IF($D$13="",INDEX(orderHistory[customer],SMALL(IF(ISNUMBER(MATCH(orderHistory[customer],$D$9,0)*MATCH(orderHistory[status],$D$11,0)),MATCH(ROW(orderHistory[customer]),ROW(orderHistory[customer])),""),ROWS($A$15:A22)+$B$3)),INDEX(orderHistory[customer],SMALL(IF(ISNUMBER(MATCH(orderHistory[customer],$D$9,0)*MATCH(orderHistory[status],$D$11,0)*MATCH(orderHistory[order_type],$D$13,0)),MATCH(ROW(orderHistory[customer]),ROW(orderHistory[customer])),""),ROWS($A$15:A22)+$B$3))))),"")</f>
        <v>MAKEUP</v>
      </c>
      <c r="M17" s="391">
        <f t="array" ref="M17">IFERROR(IF($D$9="",IF($D$11="",IF($D$13="",INDEX(orderHistory[order_no],SMALL(MATCH(ROW(orderHistory[customer]),ROW(orderHistory[customer])),ROWS($A$15:A22)+$B$3)),INDEX(orderHistory[order_no],SMALL(IF(ISNUMBER(MATCH(orderHistory[order_type],$D$13,0)),MATCH(ROW(orderHistory[customer]),ROW(orderHistory[customer])),""),ROWS($A$15:A22)+$B$3))),IF($D$13="",INDEX(orderHistory[order_no],SMALL(IF(ISNUMBER(MATCH(orderHistory[status],$D$11,0)),MATCH(ROW(orderHistory[customer]),ROW(orderHistory[customer])),""),ROWS($A$15:A22)+$B$3)),INDEX(orderHistory[order_no],SMALL(IF(ISNUMBER(MATCH(orderHistory[status],$D$11,0)*MATCH(orderHistory[order_type],$D$13,0)),MATCH(ROW(orderHistory[customer]),ROW(orderHistory[customer])),""),ROWS($A$15:A22)+$B$3)))),IF($D$11="",IF($D$13="",INDEX(orderHistory[order_no],SMALL(IF(ISNUMBER(MATCH(orderHistory[customer],$D$9,0)),MATCH(ROW(orderHistory[customer]),ROW(orderHistory[customer])),""),ROWS($A$15:A22)+$B$3)),INDEX(orderHistory[order_no],SMALL(IF(ISNUMBER(MATCH(orderHistory[customer],$D$9,0)*MATCH(orderHistory[order_type],$D$13,0)),MATCH(ROW(orderHistory[customer]),ROW(orderHistory[customer])),""),ROWS($A$15:A22)+$B$3))),IF($D$13="",INDEX(orderHistory[order_no],SMALL(IF(ISNUMBER(MATCH(orderHistory[customer],$D$9,0)*MATCH(orderHistory[status],$D$11,0)),MATCH(ROW(orderHistory[customer]),ROW(orderHistory[customer])),""),ROWS($A$15:A22)+$B$3)),INDEX(orderHistory[order_no],SMALL(IF(ISNUMBER(MATCH(orderHistory[customer],$D$9,0)*MATCH(orderHistory[status],$D$11,0)*MATCH(orderHistory[order_type],$D$13,0)),MATCH(ROW(orderHistory[customer]),ROW(orderHistory[customer])),""),ROWS($A$15:A22)+$B$3))))),"")</f>
        <v>17</v>
      </c>
      <c r="N17" s="386" t="str">
        <f t="array" ref="N17">IFERROR(IF($D$9="",IF($D$11="",IF($D$13="",INDEX(orderHistory[order_type],SMALL(MATCH(ROW(orderHistory[customer]),ROW(orderHistory[customer])),ROWS($A$15:A22)+$B$3)),INDEX(orderHistory[order_type],SMALL(IF(ISNUMBER(MATCH(orderHistory[order_type],$D$13,0)),MATCH(ROW(orderHistory[customer]),ROW(orderHistory[customer])),""),ROWS($A$15:A22)+$B$3))),IF($D$13="",INDEX(orderHistory[order_type],SMALL(IF(ISNUMBER(MATCH(orderHistory[status],$D$11,0)),MATCH(ROW(orderHistory[customer]),ROW(orderHistory[customer])),""),ROWS($A$15:A22)+$B$3)),INDEX(orderHistory[order_type],SMALL(IF(ISNUMBER(MATCH(orderHistory[status],$D$11,0)*MATCH(orderHistory[order_type],$D$13,0)),MATCH(ROW(orderHistory[customer]),ROW(orderHistory[customer])),""),ROWS($A$15:A22)+$B$3)))),IF($D$11="",IF($D$13="",INDEX(orderHistory[order_type],SMALL(IF(ISNUMBER(MATCH(orderHistory[customer],$D$9,0)),MATCH(ROW(orderHistory[customer]),ROW(orderHistory[customer])),""),ROWS($A$15:A22)+$B$3)),INDEX(orderHistory[order_type],SMALL(IF(ISNUMBER(MATCH(orderHistory[customer],$D$9,0)*MATCH(orderHistory[order_type],$D$13,0)),MATCH(ROW(orderHistory[customer]),ROW(orderHistory[customer])),""),ROWS($A$15:A22)+$B$3))),IF($D$13="",INDEX(orderHistory[order_type],SMALL(IF(ISNUMBER(MATCH(orderHistory[customer],$D$9,0)*MATCH(orderHistory[status],$D$11,0)),MATCH(ROW(orderHistory[customer]),ROW(orderHistory[customer])),""),ROWS($A$15:A22)+$B$3)),INDEX(orderHistory[order_type],SMALL(IF(ISNUMBER(MATCH(orderHistory[customer],$D$9,0)*MATCH(orderHistory[status],$D$11,0)*MATCH(orderHistory[order_type],$D$13,0)),MATCH(ROW(orderHistory[customer]),ROW(orderHistory[customer])),""),ROWS($A$15:A22)+$B$3))))),"")</f>
        <v>SALE</v>
      </c>
      <c r="O17" s="275">
        <f t="array" ref="O17">IFERROR(IF($D$9="",IF($D$11="",IF($D$13="",INDEX(orderHistory[order_date],SMALL(MATCH(ROW(orderHistory[customer]),ROW(orderHistory[customer])),ROWS($A$15:A22)+$B$3)),INDEX(orderHistory[order_date],SMALL(IF(ISNUMBER(MATCH(orderHistory[order_type],$D$13,0)),MATCH(ROW(orderHistory[customer]),ROW(orderHistory[customer])),""),ROWS($A$15:A22)+$B$3))),IF($D$13="",INDEX(orderHistory[order_date],SMALL(IF(ISNUMBER(MATCH(orderHistory[status],$D$11,0)),MATCH(ROW(orderHistory[customer]),ROW(orderHistory[customer])),""),ROWS($A$15:A22)+$B$3)),INDEX(orderHistory[order_date],SMALL(IF(ISNUMBER(MATCH(orderHistory[status],$D$11,0)*MATCH(orderHistory[order_type],$D$13,0)),MATCH(ROW(orderHistory[customer]),ROW(orderHistory[customer])),""),ROWS($A$15:A22)+$B$3)))),IF($D$11="",IF($D$13="",INDEX(orderHistory[order_date],SMALL(IF(ISNUMBER(MATCH(orderHistory[customer],$D$9,0)),MATCH(ROW(orderHistory[customer]),ROW(orderHistory[customer])),""),ROWS($A$15:A22)+$B$3)),INDEX(orderHistory[order_date],SMALL(IF(ISNUMBER(MATCH(orderHistory[customer],$D$9,0)*MATCH(orderHistory[order_type],$D$13,0)),MATCH(ROW(orderHistory[customer]),ROW(orderHistory[customer])),""),ROWS($A$15:A22)+$B$3))),IF($D$13="",INDEX(orderHistory[order_date],SMALL(IF(ISNUMBER(MATCH(orderHistory[customer],$D$9,0)*MATCH(orderHistory[status],$D$11,0)),MATCH(ROW(orderHistory[customer]),ROW(orderHistory[customer])),""),ROWS($A$15:A22)+$B$3)),INDEX(orderHistory[order_date],SMALL(IF(ISNUMBER(MATCH(orderHistory[customer],$D$9,0)*MATCH(orderHistory[status],$D$11,0)*MATCH(orderHistory[order_type],$D$13,0)),MATCH(ROW(orderHistory[customer]),ROW(orderHistory[customer])),""),ROWS($A$15:A22)+$B$3))))),"")</f>
        <v>45364</v>
      </c>
      <c r="P17" s="379">
        <f t="array" ref="P17">IF(IFERROR(IF($D$9="",IF($D$11="",IF($D$13="",INDEX(orderHistory[invoice_no],SMALL(MATCH(ROW(orderHistory[customer]),ROW(orderHistory[customer])),ROWS($A$15:A22)+$B$3)),INDEX(orderHistory[invoice_no],SMALL(IF(ISNUMBER(MATCH(orderHistory[order_type],$D$13,0)),MATCH(ROW(orderHistory[customer]),ROW(orderHistory[customer])),""),ROWS($A$15:A22)+$B$3))),IF($D$13="",INDEX(orderHistory[invoice_no],SMALL(IF(ISNUMBER(MATCH(orderHistory[status],$D$11,0)),MATCH(ROW(orderHistory[customer]),ROW(orderHistory[customer])),""),ROWS($A$15:A22)+$B$3)),INDEX(orderHistory[invoice_no],SMALL(IF(ISNUMBER(MATCH(orderHistory[status],$D$11,0)*MATCH(orderHistory[order_type],$D$13,0)),MATCH(ROW(orderHistory[customer]),ROW(orderHistory[customer])),""),ROWS($A$15:A22)+$B$3)))),IF($D$11="",IF($D$13="",INDEX(orderHistory[invoice_no],SMALL(IF(ISNUMBER(MATCH(orderHistory[customer],$D$9,0)),MATCH(ROW(orderHistory[customer]),ROW(orderHistory[customer])),""),ROWS($A$15:A22)+$B$3)),INDEX(orderHistory[invoice_no],SMALL(IF(ISNUMBER(MATCH(orderHistory[customer],$D$9,0)*MATCH(orderHistory[order_type],$D$13,0)),MATCH(ROW(orderHistory[customer]),ROW(orderHistory[customer])),""),ROWS($A$15:A22)+$B$3))),IF($D$13="",INDEX(orderHistory[invoice_no],SMALL(IF(ISNUMBER(MATCH(orderHistory[customer],$D$9,0)*MATCH(orderHistory[status],$D$11,0)),MATCH(ROW(orderHistory[customer]),ROW(orderHistory[customer])),""),ROWS($A$15:A22)+$B$3)),INDEX(orderHistory[invoice_no],SMALL(IF(ISNUMBER(MATCH(orderHistory[customer],$D$9,0)*MATCH(orderHistory[status],$D$11,0)*MATCH(orderHistory[order_type],$D$13,0)),MATCH(ROW(orderHistory[customer]),ROW(orderHistory[customer])),""),ROWS($A$15:A22)+$B$3))))),"")=0,"",IFERROR(IF($D$9="",IF($D$11="",IF($D$13="",INDEX(orderHistory[invoice_no],SMALL(MATCH(ROW(orderHistory[customer]),ROW(orderHistory[customer])),ROWS($A$15:A22)+$B$3)),INDEX(orderHistory[invoice_no],SMALL(IF(ISNUMBER(MATCH(orderHistory[order_type],$D$13,0)),MATCH(ROW(orderHistory[customer]),ROW(orderHistory[customer])),""),ROWS($A$15:A22)+$B$3))),IF($D$13="",INDEX(orderHistory[invoice_no],SMALL(IF(ISNUMBER(MATCH(orderHistory[status],$D$11,0)),MATCH(ROW(orderHistory[customer]),ROW(orderHistory[customer])),""),ROWS($A$15:A22)+$B$3)),INDEX(orderHistory[invoice_no],SMALL(IF(ISNUMBER(MATCH(orderHistory[status],$D$11,0)*MATCH(orderHistory[order_type],$D$13,0)),MATCH(ROW(orderHistory[customer]),ROW(orderHistory[customer])),""),ROWS($A$15:A22)+$B$3)))),IF($D$11="",IF($D$13="",INDEX(orderHistory[invoice_no],SMALL(IF(ISNUMBER(MATCH(orderHistory[customer],$D$9,0)),MATCH(ROW(orderHistory[customer]),ROW(orderHistory[customer])),""),ROWS($A$15:A22)+$B$3)),INDEX(orderHistory[invoice_no],SMALL(IF(ISNUMBER(MATCH(orderHistory[customer],$D$9,0)*MATCH(orderHistory[order_type],$D$13,0)),MATCH(ROW(orderHistory[customer]),ROW(orderHistory[customer])),""),ROWS($A$15:A22)+$B$3))),IF($D$13="",INDEX(orderHistory[invoice_no],SMALL(IF(ISNUMBER(MATCH(orderHistory[customer],$D$9,0)*MATCH(orderHistory[status],$D$11,0)),MATCH(ROW(orderHistory[customer]),ROW(orderHistory[customer])),""),ROWS($A$15:A22)+$B$3)),INDEX(orderHistory[invoice_no],SMALL(IF(ISNUMBER(MATCH(orderHistory[customer],$D$9,0)*MATCH(orderHistory[status],$D$11,0)*MATCH(orderHistory[order_type],$D$13,0)),MATCH(ROW(orderHistory[customer]),ROW(orderHistory[customer])),""),ROWS($A$15:A22)+$B$3))))),""))</f>
        <v>111</v>
      </c>
      <c r="Q17" s="381">
        <f t="array" ref="Q17">IF(IFERROR(IF($D$9="",IF($D$11="",IF($D$13="",INDEX(orderHistory[invoice_date],SMALL(MATCH(ROW(orderHistory[customer]),ROW(orderHistory[customer])),ROWS($A$15:A22)+$B$3)),INDEX(orderHistory[invoice_date],SMALL(IF(ISNUMBER(MATCH(orderHistory[order_type],$D$13,0)),MATCH(ROW(orderHistory[customer]),ROW(orderHistory[customer])),""),ROWS($A$15:A22)+$B$3))),IF($D$13="",INDEX(orderHistory[invoice_date],SMALL(IF(ISNUMBER(MATCH(orderHistory[status],$D$11,0)),MATCH(ROW(orderHistory[customer]),ROW(orderHistory[customer])),""),ROWS($A$15:A22)+$B$3)),INDEX(orderHistory[invoice_date],SMALL(IF(ISNUMBER(MATCH(orderHistory[status],$D$11,0)*MATCH(orderHistory[order_type],$D$13,0)),MATCH(ROW(orderHistory[customer]),ROW(orderHistory[customer])),""),ROWS($A$15:A22)+$B$3)))),IF($D$11="",IF($D$13="",INDEX(orderHistory[invoice_date],SMALL(IF(ISNUMBER(MATCH(orderHistory[customer],$D$9,0)),MATCH(ROW(orderHistory[customer]),ROW(orderHistory[customer])),""),ROWS($A$15:A22)+$B$3)),INDEX(orderHistory[invoice_date],SMALL(IF(ISNUMBER(MATCH(orderHistory[customer],$D$9,0)*MATCH(orderHistory[order_type],$D$13,0)),MATCH(ROW(orderHistory[customer]),ROW(orderHistory[customer])),""),ROWS($A$15:A22)+$B$3))),IF($D$13="",INDEX(orderHistory[invoice_date],SMALL(IF(ISNUMBER(MATCH(orderHistory[customer],$D$9,0)*MATCH(orderHistory[status],$D$11,0)),MATCH(ROW(orderHistory[customer]),ROW(orderHistory[customer])),""),ROWS($A$15:A22)+$B$3)),INDEX(orderHistory[invoice_date],SMALL(IF(ISNUMBER(MATCH(orderHistory[customer],$D$9,0)*MATCH(orderHistory[status],$D$11,0)*MATCH(orderHistory[order_type],$D$13,0)),MATCH(ROW(orderHistory[customer]),ROW(orderHistory[customer])),""),ROWS($A$15:A22)+$B$3))))),"")=0,"",IFERROR(IF($D$9="",IF($D$11="",IF($D$13="",INDEX(orderHistory[invoice_date],SMALL(MATCH(ROW(orderHistory[customer]),ROW(orderHistory[customer])),ROWS($A$15:A22)+$B$3)),INDEX(orderHistory[invoice_date],SMALL(IF(ISNUMBER(MATCH(orderHistory[order_type],$D$13,0)),MATCH(ROW(orderHistory[customer]),ROW(orderHistory[customer])),""),ROWS($A$15:A22)+$B$3))),IF($D$13="",INDEX(orderHistory[invoice_date],SMALL(IF(ISNUMBER(MATCH(orderHistory[status],$D$11,0)),MATCH(ROW(orderHistory[customer]),ROW(orderHistory[customer])),""),ROWS($A$15:A22)+$B$3)),INDEX(orderHistory[invoice_date],SMALL(IF(ISNUMBER(MATCH(orderHistory[status],$D$11,0)*MATCH(orderHistory[order_type],$D$13,0)),MATCH(ROW(orderHistory[customer]),ROW(orderHistory[customer])),""),ROWS($A$15:A22)+$B$3)))),IF($D$11="",IF($D$13="",INDEX(orderHistory[invoice_date],SMALL(IF(ISNUMBER(MATCH(orderHistory[customer],$D$9,0)),MATCH(ROW(orderHistory[customer]),ROW(orderHistory[customer])),""),ROWS($A$15:A22)+$B$3)),INDEX(orderHistory[invoice_date],SMALL(IF(ISNUMBER(MATCH(orderHistory[customer],$D$9,0)*MATCH(orderHistory[order_type],$D$13,0)),MATCH(ROW(orderHistory[customer]),ROW(orderHistory[customer])),""),ROWS($A$15:A22)+$B$3))),IF($D$13="",INDEX(orderHistory[invoice_date],SMALL(IF(ISNUMBER(MATCH(orderHistory[customer],$D$9,0)*MATCH(orderHistory[status],$D$11,0)),MATCH(ROW(orderHistory[customer]),ROW(orderHistory[customer])),""),ROWS($A$15:A22)+$B$3)),INDEX(orderHistory[invoice_date],SMALL(IF(ISNUMBER(MATCH(orderHistory[customer],$D$9,0)*MATCH(orderHistory[status],$D$11,0)*MATCH(orderHistory[order_type],$D$13,0)),MATCH(ROW(orderHistory[customer]),ROW(orderHistory[customer])),""),ROWS($A$15:A22)+$B$3))))),""))</f>
        <v>45386</v>
      </c>
      <c r="R17" s="377">
        <f t="array" ref="R17">IFERROR(IF($D$9="",IF($D$11="",IF($D$13="",INDEX(orderHistory[inv_amount],SMALL(MATCH(ROW(orderHistory[customer]),ROW(orderHistory[customer])),ROWS($A$15:A22)+$B$3)),INDEX(orderHistory[inv_amount],SMALL(IF(ISNUMBER(MATCH(orderHistory[order_type],$D$13,0)),MATCH(ROW(orderHistory[customer]),ROW(orderHistory[customer])),""),ROWS($A$15:A22)+$B$3))),IF($D$13="",INDEX(orderHistory[inv_amount],SMALL(IF(ISNUMBER(MATCH(orderHistory[status],$D$11,0)),MATCH(ROW(orderHistory[customer]),ROW(orderHistory[customer])),""),ROWS($A$15:A22)+$B$3)),INDEX(orderHistory[inv_amount],SMALL(IF(ISNUMBER(MATCH(orderHistory[status],$D$11,0)*MATCH(orderHistory[order_type],$D$13,0)),MATCH(ROW(orderHistory[customer]),ROW(orderHistory[customer])),""),ROWS($A$15:A22)+$B$3)))),IF($D$11="",IF($D$13="",INDEX(orderHistory[inv_amount],SMALL(IF(ISNUMBER(MATCH(orderHistory[customer],$D$9,0)),MATCH(ROW(orderHistory[customer]),ROW(orderHistory[customer])),""),ROWS($A$15:A22)+$B$3)),INDEX(orderHistory[inv_amount],SMALL(IF(ISNUMBER(MATCH(orderHistory[customer],$D$9,0)*MATCH(orderHistory[order_type],$D$13,0)),MATCH(ROW(orderHistory[customer]),ROW(orderHistory[customer])),""),ROWS($A$15:A22)+$B$3))),IF($D$13="",INDEX(orderHistory[inv_amount],SMALL(IF(ISNUMBER(MATCH(orderHistory[customer],$D$9,0)*MATCH(orderHistory[status],$D$11,0)),MATCH(ROW(orderHistory[customer]),ROW(orderHistory[customer])),""),ROWS($A$15:A22)+$B$3)),INDEX(orderHistory[inv_amount],SMALL(IF(ISNUMBER(MATCH(orderHistory[customer],$D$9,0)*MATCH(orderHistory[status],$D$11,0)*MATCH(orderHistory[order_type],$D$13,0)),MATCH(ROW(orderHistory[customer]),ROW(orderHistory[customer])),""),ROWS($A$15:A22)+$B$3))))),"")</f>
        <v>72576</v>
      </c>
      <c r="S17" s="383">
        <f t="shared" si="0"/>
        <v>5080.3200000000006</v>
      </c>
      <c r="T17" s="385" t="b">
        <f t="array" ref="T17">IFERROR(IF($D$9="",IF($D$11="",IF($D$13="",INDEX(orderHistory[payed],SMALL(MATCH(ROW(orderHistory[customer]),ROW(orderHistory[customer])),ROWS($A$15:A22)+$B$3)),INDEX(orderHistory[payed],SMALL(IF(ISNUMBER(MATCH(orderHistory[order_type],$D$13,0)),MATCH(ROW(orderHistory[customer]),ROW(orderHistory[customer])),""),ROWS($A$15:A22)+$B$3))),IF($D$13="",INDEX(orderHistory[payed],SMALL(IF(ISNUMBER(MATCH(orderHistory[status],$D$11,0)),MATCH(ROW(orderHistory[customer]),ROW(orderHistory[customer])),""),ROWS($A$15:A22)+$B$3)),INDEX(orderHistory[payed],SMALL(IF(ISNUMBER(MATCH(orderHistory[status],$D$11,0)*MATCH(orderHistory[order_type],$D$13,0)),MATCH(ROW(orderHistory[customer]),ROW(orderHistory[customer])),""),ROWS($A$15:A22)+$B$3)))),IF($D$11="",IF($D$13="",INDEX(orderHistory[payed],SMALL(IF(ISNUMBER(MATCH(orderHistory[customer],$D$9,0)),MATCH(ROW(orderHistory[customer]),ROW(orderHistory[customer])),""),ROWS($A$15:A22)+$B$3)),INDEX(orderHistory[payed],SMALL(IF(ISNUMBER(MATCH(orderHistory[customer],$D$9,0)*MATCH(orderHistory[order_type],$D$13,0)),MATCH(ROW(orderHistory[customer]),ROW(orderHistory[customer])),""),ROWS($A$15:A22)+$B$3))),IF($D$13="",INDEX(orderHistory[payed],SMALL(IF(ISNUMBER(MATCH(orderHistory[customer],$D$9,0)*MATCH(orderHistory[status],$D$11,0)),MATCH(ROW(orderHistory[customer]),ROW(orderHistory[customer])),""),ROWS($A$15:A22)+$B$3)),INDEX(orderHistory[payed],SMALL(IF(ISNUMBER(MATCH(orderHistory[customer],$D$9,0)*MATCH(orderHistory[status],$D$11,0)*MATCH(orderHistory[order_type],$D$13,0)),MATCH(ROW(orderHistory[customer]),ROW(orderHistory[customer])),""),ROWS($A$15:A22)+$B$3))))),"")</f>
        <v>0</v>
      </c>
      <c r="U17" s="386" t="str">
        <f t="array" ref="U17">IFERROR(IF($D$9="",IF($D$11="",IF($D$13="",INDEX(orderHistory[shipping_method],SMALL(MATCH(ROW(orderHistory[customer]),ROW(orderHistory[customer])),ROWS($A$15:A22)+$B$3)),INDEX(orderHistory[shipping_method],SMALL(IF(ISNUMBER(MATCH(orderHistory[order_type],$D$13,0)),MATCH(ROW(orderHistory[customer]),ROW(orderHistory[customer])),""),ROWS($A$15:A22)+$B$3))),IF($D$13="",INDEX(orderHistory[shipping_method],SMALL(IF(ISNUMBER(MATCH(orderHistory[status],$D$11,0)),MATCH(ROW(orderHistory[customer]),ROW(orderHistory[customer])),""),ROWS($A$15:A22)+$B$3)),INDEX(orderHistory[shipping_method],SMALL(IF(ISNUMBER(MATCH(orderHistory[status],$D$11,0)*MATCH(orderHistory[order_type],$D$13,0)),MATCH(ROW(orderHistory[customer]),ROW(orderHistory[customer])),""),ROWS($A$15:A22)+$B$3)))),IF($D$11="",IF($D$13="",INDEX(orderHistory[shipping_method],SMALL(IF(ISNUMBER(MATCH(orderHistory[customer],$D$9,0)),MATCH(ROW(orderHistory[customer]),ROW(orderHistory[customer])),""),ROWS($A$15:A22)+$B$3)),INDEX(orderHistory[shipping_method],SMALL(IF(ISNUMBER(MATCH(orderHistory[customer],$D$9,0)*MATCH(orderHistory[order_type],$D$13,0)),MATCH(ROW(orderHistory[customer]),ROW(orderHistory[customer])),""),ROWS($A$15:A22)+$B$3))),IF($D$13="",INDEX(orderHistory[shipping_method],SMALL(IF(ISNUMBER(MATCH(orderHistory[customer],$D$9,0)*MATCH(orderHistory[status],$D$11,0)),MATCH(ROW(orderHistory[customer]),ROW(orderHistory[customer])),""),ROWS($A$15:A22)+$B$3)),INDEX(orderHistory[shipping_method],SMALL(IF(ISNUMBER(MATCH(orderHistory[customer],$D$9,0)*MATCH(orderHistory[status],$D$11,0)*MATCH(orderHistory[order_type],$D$13,0)),MATCH(ROW(orderHistory[customer]),ROW(orderHistory[customer])),""),ROWS($A$15:A22)+$B$3))))),"")</f>
        <v>BY SEA</v>
      </c>
      <c r="V17" s="387" t="str">
        <f t="array" ref="V17">IFERROR(IF($D$9="",IF($D$11="",IF($D$13="",INDEX(orderHistory[status],SMALL(MATCH(ROW(orderHistory[customer]),ROW(orderHistory[customer])),ROWS($A$15:A22)+$B$3)),INDEX(orderHistory[status],SMALL(IF(ISNUMBER(MATCH(orderHistory[order_type],$D$13,0)),MATCH(ROW(orderHistory[customer]),ROW(orderHistory[customer])),""),ROWS($A$15:A22)+$B$3))),IF($D$13="",INDEX(orderHistory[status],SMALL(IF(ISNUMBER(MATCH(orderHistory[status],$D$11,0)),MATCH(ROW(orderHistory[customer]),ROW(orderHistory[customer])),""),ROWS($A$15:A22)+$B$3)),INDEX(orderHistory[status],SMALL(IF(ISNUMBER(MATCH(orderHistory[status],$D$11,0)*MATCH(orderHistory[order_type],$D$13,0)),MATCH(ROW(orderHistory[customer]),ROW(orderHistory[customer])),""),ROWS($A$15:A22)+$B$3)))),IF($D$11="",IF($D$13="",INDEX(orderHistory[status],SMALL(IF(ISNUMBER(MATCH(orderHistory[customer],$D$9,0)),MATCH(ROW(orderHistory[customer]),ROW(orderHistory[customer])),""),ROWS($A$15:A22)+$B$3)),INDEX(orderHistory[status],SMALL(IF(ISNUMBER(MATCH(orderHistory[customer],$D$9,0)*MATCH(orderHistory[order_type],$D$13,0)),MATCH(ROW(orderHistory[customer]),ROW(orderHistory[customer])),""),ROWS($A$15:A22)+$B$3))),IF($D$13="",INDEX(orderHistory[status],SMALL(IF(ISNUMBER(MATCH(orderHistory[customer],$D$9,0)*MATCH(orderHistory[status],$D$11,0)),MATCH(ROW(orderHistory[customer]),ROW(orderHistory[customer])),""),ROWS($A$15:A22)+$B$3)),INDEX(orderHistory[status],SMALL(IF(ISNUMBER(MATCH(orderHistory[customer],$D$9,0)*MATCH(orderHistory[status],$D$11,0)*MATCH(orderHistory[order_type],$D$13,0)),MATCH(ROW(orderHistory[customer]),ROW(orderHistory[customer])),""),ROWS($A$15:A22)+$B$3))))),"")</f>
        <v>SHIPPED</v>
      </c>
      <c r="W17" s="111"/>
      <c r="AO17" s="74"/>
      <c r="AQ17" s="130"/>
      <c r="AR17" s="259"/>
      <c r="AS17" s="259"/>
      <c r="AT17" s="259"/>
      <c r="AU17" s="119"/>
      <c r="AW17" s="125"/>
      <c r="AX17" s="283">
        <f>CW18</f>
        <v>0</v>
      </c>
      <c r="AY17" s="120"/>
      <c r="AZ17" s="284" t="str">
        <f>IF(SUMIF(salesHistory[order_no],$AR$10,salesHistory[foc_qty])=0,"",SUMIF(salesHistory[order_no],$AR$10,salesHistory[foc_qty]))</f>
        <v/>
      </c>
      <c r="BA17" s="120"/>
      <c r="BB17" s="120"/>
      <c r="BC17" s="120"/>
      <c r="BD17" s="181"/>
      <c r="BE17" s="182"/>
      <c r="BF17" s="182"/>
      <c r="BG17" s="183"/>
      <c r="BH17" s="182"/>
      <c r="BJ17" s="182"/>
      <c r="BK17" s="146"/>
      <c r="BL17" s="147"/>
      <c r="BM17" s="148"/>
      <c r="BN17" s="147"/>
      <c r="BO17" s="148"/>
      <c r="BZ17" s="304"/>
      <c r="CA17" s="269" t="str">
        <f>IF(BZ17="","",VLOOKUP(BZ17,bhpc_data[],7,FALSE))</f>
        <v/>
      </c>
      <c r="CB17" s="296"/>
      <c r="CC17" s="643"/>
      <c r="CD17" s="545"/>
      <c r="CE17" s="645"/>
      <c r="CF17" s="298"/>
      <c r="CG17" s="301" t="str">
        <f>IFERROR(ROUNDUP(CB17/VLOOKUP(BZ17,bhpc_data[],9,FALSE),0)+ROUNDUP(CD17/VLOOKUP(BZ17,bhpc_data[],9,FALSE),0),"")</f>
        <v/>
      </c>
      <c r="CH17" s="302" t="str">
        <f>IFERROR(ROUNDUP(CD17/VLOOKUP(BZ17,bhpc_data[],9,FALSE),0),"")</f>
        <v/>
      </c>
      <c r="CI17" s="302" t="str">
        <f>IFERROR(ROUNDUP(CF17/VLOOKUP(BZ17,bhpc_data[],9,FALSE),0),"")</f>
        <v/>
      </c>
      <c r="CJ17" s="302" t="str">
        <f>IFERROR(((CB17+CD17+CF17)/VLOOKUP(BZ17,bhpc_data[],9,FALSE))*VLOOKUP(BZ17,bhpc_data[],17,FALSE),"")</f>
        <v/>
      </c>
      <c r="CK17" s="302" t="str">
        <f>IFERROR(((CB17+CD17+CF17)/VLOOKUP(BZ17,bhpc_data[],9,FALSE))*VLOOKUP(BZ17,bhpc_data[],18,FALSE),"")</f>
        <v/>
      </c>
      <c r="CL17" s="346" t="str">
        <f>IFERROR((CB17+CD17)/VLOOKUP(BZ17,bhpc_data[],9,FALSE)*VLOOKUP(BZ17,bhpc_data[],14,FALSE)*VLOOKUP(BZ17,bhpc_data[],15,FALSE)*VLOOKUP(BZ17,bhpc_data[],16,FALSE)/1000000000,"")</f>
        <v/>
      </c>
      <c r="CM17" s="409" t="str">
        <f>IFERROR(VLOOKUP(BZ17,bhpc_data[],2,FALSE),"")</f>
        <v/>
      </c>
      <c r="CN17" s="409" t="str">
        <f>IFERROR(VLOOKUP(BZ17,bhpc_data[],19,FALSE),"")</f>
        <v/>
      </c>
      <c r="CO17" s="653" t="str">
        <f>IFERROR(VLOOKUP(BZ17,bhpc_data[],6,FALSE),"")</f>
        <v/>
      </c>
      <c r="CP17" s="654" t="str">
        <f>IFERROR(VLOOKUP(BZ17,inventory[],4,FALSE),"")</f>
        <v/>
      </c>
      <c r="CQ17" s="651" t="str">
        <f>IFERROR(IF(BZ17="","",IF($BX$15="SALE",VLOOKUP(BZ17,inventory[],5,FALSE),IF($BX$15="SAMPLING",VLOOKUP(BZ17,inventory[],5,FALSE),""))),"")</f>
        <v/>
      </c>
      <c r="CR17" s="652" t="str">
        <f>IFERROR(IF(BZ17="","",(CB17+CD17+CF17)*CQ17),"")</f>
        <v/>
      </c>
      <c r="CS17" s="557" t="str">
        <f>IF(BZ17="","",CB17*CC17+CD17*CE17)</f>
        <v/>
      </c>
      <c r="CU17" s="125"/>
      <c r="CV17" s="134" t="s">
        <v>700</v>
      </c>
      <c r="CW17" s="615">
        <f>IFERROR(CONCATENATE(ROUND(1/($CW$16/SUMIF($CF$10:$CF$110,"&lt;&gt;""",$CB$10:$CB$110)),1),":1"),0)</f>
        <v>0</v>
      </c>
      <c r="CX17" s="134"/>
      <c r="CY17" s="120"/>
      <c r="CZ17" s="121"/>
      <c r="DA17" s="540" t="str">
        <f>IFERROR(VLOOKUP(BZ17,bhpc_data[],22,FALSE),"")</f>
        <v/>
      </c>
      <c r="DF17" s="131"/>
      <c r="DG17" s="120"/>
      <c r="DH17" s="162"/>
      <c r="DI17" s="120"/>
      <c r="DJ17" s="120" t="s">
        <v>685</v>
      </c>
      <c r="DK17" s="120"/>
      <c r="DL17" s="120"/>
      <c r="DM17" s="120" t="s">
        <v>863</v>
      </c>
      <c r="DN17" s="120"/>
      <c r="DO17" s="120"/>
      <c r="DP17" s="120"/>
      <c r="DQ17" s="120"/>
      <c r="DR17" s="120"/>
      <c r="DS17" s="120"/>
      <c r="DT17" s="120"/>
      <c r="DU17" s="120"/>
      <c r="DV17" s="121"/>
      <c r="EE17" s="453" t="s">
        <v>55</v>
      </c>
      <c r="EF17" s="447" t="str">
        <f>VLOOKUP(EE17,bhpc_data[],7,FALSE)</f>
        <v>BHPC GIFT SET WOMEN 2 EDP 50ML + DEO 150ML</v>
      </c>
      <c r="EG17" s="555">
        <f>IFERROR(VLOOKUP(EE17,inventory[],4,FALSE),0)</f>
        <v>520</v>
      </c>
      <c r="EH17" s="555">
        <f>IFERROR(VLOOKUP(warehouse[[#This Row],[SKU]],$EQ$10:$ES$38,3,FALSE),0)</f>
        <v>0</v>
      </c>
      <c r="EI17" s="555">
        <f>IFERROR(VLOOKUP(warehouse[[#This Row],[SKU]],$EM$10:$EO$61,3,FALSE),0)</f>
        <v>1362</v>
      </c>
      <c r="EJ17" s="555">
        <f>warehouse[[#This Row],[T-1]]+warehouse[[#This Row],[SUPPLY]]-warehouse[[#This Row],[SALE + SAMPLING]]</f>
        <v>-842</v>
      </c>
      <c r="EM17" s="74" t="s">
        <v>46</v>
      </c>
      <c r="EN17" s="74" t="s">
        <v>47</v>
      </c>
      <c r="EO17" s="431">
        <v>1566</v>
      </c>
      <c r="EQ17" s="74" t="s">
        <v>84</v>
      </c>
      <c r="ER17" s="74" t="s">
        <v>85</v>
      </c>
      <c r="ES17" s="446">
        <v>4992</v>
      </c>
    </row>
    <row r="18" spans="1:149" ht="15" customHeight="1">
      <c r="A18" s="278" t="s">
        <v>751</v>
      </c>
      <c r="B18" s="279"/>
      <c r="F18" s="157"/>
      <c r="G18" s="917" t="str">
        <f>IFERROR(INDEX(clientData[payment_method],MATCH($B$6,clientData[cod_cliente],0)),"")</f>
        <v>60 DAYS DATE OF DELIVERY</v>
      </c>
      <c r="H18" s="918"/>
      <c r="I18" s="919"/>
      <c r="J18" s="121"/>
      <c r="L18" s="274" t="str">
        <f t="array" ref="L18">IFERROR(IF($D$9="",IF($D$11="",IF($D$13="",INDEX(orderHistory[customer],SMALL(MATCH(ROW(orderHistory[customer]),ROW(orderHistory[customer])),ROWS($A$15:A23)+$B$3)),INDEX(orderHistory[customer],SMALL(IF(ISNUMBER(MATCH(orderHistory[order_type],$D$13,0)),MATCH(ROW(orderHistory[customer]),ROW(orderHistory[customer])),""),ROWS($A$15:A23)+$B$3))),IF($D$13="",INDEX(orderHistory[customer],SMALL(IF(ISNUMBER(MATCH(orderHistory[status],$D$11,0)),MATCH(ROW(orderHistory[customer]),ROW(orderHistory[customer])),""),ROWS($A$15:A23)+$B$3)),INDEX(orderHistory[customer],SMALL(IF(ISNUMBER(MATCH(orderHistory[status],$D$11,0)*MATCH(orderHistory[order_type],$D$13,0)),MATCH(ROW(orderHistory[customer]),ROW(orderHistory[customer])),""),ROWS($A$15:A23)+$B$3)))),IF($D$11="",IF($D$13="",INDEX(orderHistory[customer],SMALL(IF(ISNUMBER(MATCH(orderHistory[customer],$D$9,0)),MATCH(ROW(orderHistory[customer]),ROW(orderHistory[customer])),""),ROWS($A$15:A23)+$B$3)),INDEX(orderHistory[customer],SMALL(IF(ISNUMBER(MATCH(orderHistory[customer],$D$9,0)*MATCH(orderHistory[order_type],$D$13,0)),MATCH(ROW(orderHistory[customer]),ROW(orderHistory[customer])),""),ROWS($A$15:A23)+$B$3))),IF($D$13="",INDEX(orderHistory[customer],SMALL(IF(ISNUMBER(MATCH(orderHistory[customer],$D$9,0)*MATCH(orderHistory[status],$D$11,0)),MATCH(ROW(orderHistory[customer]),ROW(orderHistory[customer])),""),ROWS($A$15:A23)+$B$3)),INDEX(orderHistory[customer],SMALL(IF(ISNUMBER(MATCH(orderHistory[customer],$D$9,0)*MATCH(orderHistory[status],$D$11,0)*MATCH(orderHistory[order_type],$D$13,0)),MATCH(ROW(orderHistory[customer]),ROW(orderHistory[customer])),""),ROWS($A$15:A23)+$B$3))))),"")</f>
        <v>4BEAUTY4YOU</v>
      </c>
      <c r="M18" s="391">
        <f t="array" ref="M18">IFERROR(IF($D$9="",IF($D$11="",IF($D$13="",INDEX(orderHistory[order_no],SMALL(MATCH(ROW(orderHistory[customer]),ROW(orderHistory[customer])),ROWS($A$15:A23)+$B$3)),INDEX(orderHistory[order_no],SMALL(IF(ISNUMBER(MATCH(orderHistory[order_type],$D$13,0)),MATCH(ROW(orderHistory[customer]),ROW(orderHistory[customer])),""),ROWS($A$15:A23)+$B$3))),IF($D$13="",INDEX(orderHistory[order_no],SMALL(IF(ISNUMBER(MATCH(orderHistory[status],$D$11,0)),MATCH(ROW(orderHistory[customer]),ROW(orderHistory[customer])),""),ROWS($A$15:A23)+$B$3)),INDEX(orderHistory[order_no],SMALL(IF(ISNUMBER(MATCH(orderHistory[status],$D$11,0)*MATCH(orderHistory[order_type],$D$13,0)),MATCH(ROW(orderHistory[customer]),ROW(orderHistory[customer])),""),ROWS($A$15:A23)+$B$3)))),IF($D$11="",IF($D$13="",INDEX(orderHistory[order_no],SMALL(IF(ISNUMBER(MATCH(orderHistory[customer],$D$9,0)),MATCH(ROW(orderHistory[customer]),ROW(orderHistory[customer])),""),ROWS($A$15:A23)+$B$3)),INDEX(orderHistory[order_no],SMALL(IF(ISNUMBER(MATCH(orderHistory[customer],$D$9,0)*MATCH(orderHistory[order_type],$D$13,0)),MATCH(ROW(orderHistory[customer]),ROW(orderHistory[customer])),""),ROWS($A$15:A23)+$B$3))),IF($D$13="",INDEX(orderHistory[order_no],SMALL(IF(ISNUMBER(MATCH(orderHistory[customer],$D$9,0)*MATCH(orderHistory[status],$D$11,0)),MATCH(ROW(orderHistory[customer]),ROW(orderHistory[customer])),""),ROWS($A$15:A23)+$B$3)),INDEX(orderHistory[order_no],SMALL(IF(ISNUMBER(MATCH(orderHistory[customer],$D$9,0)*MATCH(orderHistory[status],$D$11,0)*MATCH(orderHistory[order_type],$D$13,0)),MATCH(ROW(orderHistory[customer]),ROW(orderHistory[customer])),""),ROWS($A$15:A23)+$B$3))))),"")</f>
        <v>27</v>
      </c>
      <c r="N18" s="386" t="str">
        <f t="array" ref="N18">IFERROR(IF($D$9="",IF($D$11="",IF($D$13="",INDEX(orderHistory[order_type],SMALL(MATCH(ROW(orderHistory[customer]),ROW(orderHistory[customer])),ROWS($A$15:A23)+$B$3)),INDEX(orderHistory[order_type],SMALL(IF(ISNUMBER(MATCH(orderHistory[order_type],$D$13,0)),MATCH(ROW(orderHistory[customer]),ROW(orderHistory[customer])),""),ROWS($A$15:A23)+$B$3))),IF($D$13="",INDEX(orderHistory[order_type],SMALL(IF(ISNUMBER(MATCH(orderHistory[status],$D$11,0)),MATCH(ROW(orderHistory[customer]),ROW(orderHistory[customer])),""),ROWS($A$15:A23)+$B$3)),INDEX(orderHistory[order_type],SMALL(IF(ISNUMBER(MATCH(orderHistory[status],$D$11,0)*MATCH(orderHistory[order_type],$D$13,0)),MATCH(ROW(orderHistory[customer]),ROW(orderHistory[customer])),""),ROWS($A$15:A23)+$B$3)))),IF($D$11="",IF($D$13="",INDEX(orderHistory[order_type],SMALL(IF(ISNUMBER(MATCH(orderHistory[customer],$D$9,0)),MATCH(ROW(orderHistory[customer]),ROW(orderHistory[customer])),""),ROWS($A$15:A23)+$B$3)),INDEX(orderHistory[order_type],SMALL(IF(ISNUMBER(MATCH(orderHistory[customer],$D$9,0)*MATCH(orderHistory[order_type],$D$13,0)),MATCH(ROW(orderHistory[customer]),ROW(orderHistory[customer])),""),ROWS($A$15:A23)+$B$3))),IF($D$13="",INDEX(orderHistory[order_type],SMALL(IF(ISNUMBER(MATCH(orderHistory[customer],$D$9,0)*MATCH(orderHistory[status],$D$11,0)),MATCH(ROW(orderHistory[customer]),ROW(orderHistory[customer])),""),ROWS($A$15:A23)+$B$3)),INDEX(orderHistory[order_type],SMALL(IF(ISNUMBER(MATCH(orderHistory[customer],$D$9,0)*MATCH(orderHistory[status],$D$11,0)*MATCH(orderHistory[order_type],$D$13,0)),MATCH(ROW(orderHistory[customer]),ROW(orderHistory[customer])),""),ROWS($A$15:A23)+$B$3))))),"")</f>
        <v>SALE</v>
      </c>
      <c r="O18" s="275">
        <f t="array" ref="O18">IFERROR(IF($D$9="",IF($D$11="",IF($D$13="",INDEX(orderHistory[order_date],SMALL(MATCH(ROW(orderHistory[customer]),ROW(orderHistory[customer])),ROWS($A$15:A23)+$B$3)),INDEX(orderHistory[order_date],SMALL(IF(ISNUMBER(MATCH(orderHistory[order_type],$D$13,0)),MATCH(ROW(orderHistory[customer]),ROW(orderHistory[customer])),""),ROWS($A$15:A23)+$B$3))),IF($D$13="",INDEX(orderHistory[order_date],SMALL(IF(ISNUMBER(MATCH(orderHistory[status],$D$11,0)),MATCH(ROW(orderHistory[customer]),ROW(orderHistory[customer])),""),ROWS($A$15:A23)+$B$3)),INDEX(orderHistory[order_date],SMALL(IF(ISNUMBER(MATCH(orderHistory[status],$D$11,0)*MATCH(orderHistory[order_type],$D$13,0)),MATCH(ROW(orderHistory[customer]),ROW(orderHistory[customer])),""),ROWS($A$15:A23)+$B$3)))),IF($D$11="",IF($D$13="",INDEX(orderHistory[order_date],SMALL(IF(ISNUMBER(MATCH(orderHistory[customer],$D$9,0)),MATCH(ROW(orderHistory[customer]),ROW(orderHistory[customer])),""),ROWS($A$15:A23)+$B$3)),INDEX(orderHistory[order_date],SMALL(IF(ISNUMBER(MATCH(orderHistory[customer],$D$9,0)*MATCH(orderHistory[order_type],$D$13,0)),MATCH(ROW(orderHistory[customer]),ROW(orderHistory[customer])),""),ROWS($A$15:A23)+$B$3))),IF($D$13="",INDEX(orderHistory[order_date],SMALL(IF(ISNUMBER(MATCH(orderHistory[customer],$D$9,0)*MATCH(orderHistory[status],$D$11,0)),MATCH(ROW(orderHistory[customer]),ROW(orderHistory[customer])),""),ROWS($A$15:A23)+$B$3)),INDEX(orderHistory[order_date],SMALL(IF(ISNUMBER(MATCH(orderHistory[customer],$D$9,0)*MATCH(orderHistory[status],$D$11,0)*MATCH(orderHistory[order_type],$D$13,0)),MATCH(ROW(orderHistory[customer]),ROW(orderHistory[customer])),""),ROWS($A$15:A23)+$B$3))))),"")</f>
        <v>45379</v>
      </c>
      <c r="P18" s="379">
        <f t="array" ref="P18">IF(IFERROR(IF($D$9="",IF($D$11="",IF($D$13="",INDEX(orderHistory[invoice_no],SMALL(MATCH(ROW(orderHistory[customer]),ROW(orderHistory[customer])),ROWS($A$15:A23)+$B$3)),INDEX(orderHistory[invoice_no],SMALL(IF(ISNUMBER(MATCH(orderHistory[order_type],$D$13,0)),MATCH(ROW(orderHistory[customer]),ROW(orderHistory[customer])),""),ROWS($A$15:A23)+$B$3))),IF($D$13="",INDEX(orderHistory[invoice_no],SMALL(IF(ISNUMBER(MATCH(orderHistory[status],$D$11,0)),MATCH(ROW(orderHistory[customer]),ROW(orderHistory[customer])),""),ROWS($A$15:A23)+$B$3)),INDEX(orderHistory[invoice_no],SMALL(IF(ISNUMBER(MATCH(orderHistory[status],$D$11,0)*MATCH(orderHistory[order_type],$D$13,0)),MATCH(ROW(orderHistory[customer]),ROW(orderHistory[customer])),""),ROWS($A$15:A23)+$B$3)))),IF($D$11="",IF($D$13="",INDEX(orderHistory[invoice_no],SMALL(IF(ISNUMBER(MATCH(orderHistory[customer],$D$9,0)),MATCH(ROW(orderHistory[customer]),ROW(orderHistory[customer])),""),ROWS($A$15:A23)+$B$3)),INDEX(orderHistory[invoice_no],SMALL(IF(ISNUMBER(MATCH(orderHistory[customer],$D$9,0)*MATCH(orderHistory[order_type],$D$13,0)),MATCH(ROW(orderHistory[customer]),ROW(orderHistory[customer])),""),ROWS($A$15:A23)+$B$3))),IF($D$13="",INDEX(orderHistory[invoice_no],SMALL(IF(ISNUMBER(MATCH(orderHistory[customer],$D$9,0)*MATCH(orderHistory[status],$D$11,0)),MATCH(ROW(orderHistory[customer]),ROW(orderHistory[customer])),""),ROWS($A$15:A23)+$B$3)),INDEX(orderHistory[invoice_no],SMALL(IF(ISNUMBER(MATCH(orderHistory[customer],$D$9,0)*MATCH(orderHistory[status],$D$11,0)*MATCH(orderHistory[order_type],$D$13,0)),MATCH(ROW(orderHistory[customer]),ROW(orderHistory[customer])),""),ROWS($A$15:A23)+$B$3))))),"")=0,"",IFERROR(IF($D$9="",IF($D$11="",IF($D$13="",INDEX(orderHistory[invoice_no],SMALL(MATCH(ROW(orderHistory[customer]),ROW(orderHistory[customer])),ROWS($A$15:A23)+$B$3)),INDEX(orderHistory[invoice_no],SMALL(IF(ISNUMBER(MATCH(orderHistory[order_type],$D$13,0)),MATCH(ROW(orderHistory[customer]),ROW(orderHistory[customer])),""),ROWS($A$15:A23)+$B$3))),IF($D$13="",INDEX(orderHistory[invoice_no],SMALL(IF(ISNUMBER(MATCH(orderHistory[status],$D$11,0)),MATCH(ROW(orderHistory[customer]),ROW(orderHistory[customer])),""),ROWS($A$15:A23)+$B$3)),INDEX(orderHistory[invoice_no],SMALL(IF(ISNUMBER(MATCH(orderHistory[status],$D$11,0)*MATCH(orderHistory[order_type],$D$13,0)),MATCH(ROW(orderHistory[customer]),ROW(orderHistory[customer])),""),ROWS($A$15:A23)+$B$3)))),IF($D$11="",IF($D$13="",INDEX(orderHistory[invoice_no],SMALL(IF(ISNUMBER(MATCH(orderHistory[customer],$D$9,0)),MATCH(ROW(orderHistory[customer]),ROW(orderHistory[customer])),""),ROWS($A$15:A23)+$B$3)),INDEX(orderHistory[invoice_no],SMALL(IF(ISNUMBER(MATCH(orderHistory[customer],$D$9,0)*MATCH(orderHistory[order_type],$D$13,0)),MATCH(ROW(orderHistory[customer]),ROW(orderHistory[customer])),""),ROWS($A$15:A23)+$B$3))),IF($D$13="",INDEX(orderHistory[invoice_no],SMALL(IF(ISNUMBER(MATCH(orderHistory[customer],$D$9,0)*MATCH(orderHistory[status],$D$11,0)),MATCH(ROW(orderHistory[customer]),ROW(orderHistory[customer])),""),ROWS($A$15:A23)+$B$3)),INDEX(orderHistory[invoice_no],SMALL(IF(ISNUMBER(MATCH(orderHistory[customer],$D$9,0)*MATCH(orderHistory[status],$D$11,0)*MATCH(orderHistory[order_type],$D$13,0)),MATCH(ROW(orderHistory[customer]),ROW(orderHistory[customer])),""),ROWS($A$15:A23)+$B$3))))),""))</f>
        <v>100</v>
      </c>
      <c r="Q18" s="381">
        <f t="array" ref="Q18">IF(IFERROR(IF($D$9="",IF($D$11="",IF($D$13="",INDEX(orderHistory[invoice_date],SMALL(MATCH(ROW(orderHistory[customer]),ROW(orderHistory[customer])),ROWS($A$15:A23)+$B$3)),INDEX(orderHistory[invoice_date],SMALL(IF(ISNUMBER(MATCH(orderHistory[order_type],$D$13,0)),MATCH(ROW(orderHistory[customer]),ROW(orderHistory[customer])),""),ROWS($A$15:A23)+$B$3))),IF($D$13="",INDEX(orderHistory[invoice_date],SMALL(IF(ISNUMBER(MATCH(orderHistory[status],$D$11,0)),MATCH(ROW(orderHistory[customer]),ROW(orderHistory[customer])),""),ROWS($A$15:A23)+$B$3)),INDEX(orderHistory[invoice_date],SMALL(IF(ISNUMBER(MATCH(orderHistory[status],$D$11,0)*MATCH(orderHistory[order_type],$D$13,0)),MATCH(ROW(orderHistory[customer]),ROW(orderHistory[customer])),""),ROWS($A$15:A23)+$B$3)))),IF($D$11="",IF($D$13="",INDEX(orderHistory[invoice_date],SMALL(IF(ISNUMBER(MATCH(orderHistory[customer],$D$9,0)),MATCH(ROW(orderHistory[customer]),ROW(orderHistory[customer])),""),ROWS($A$15:A23)+$B$3)),INDEX(orderHistory[invoice_date],SMALL(IF(ISNUMBER(MATCH(orderHistory[customer],$D$9,0)*MATCH(orderHistory[order_type],$D$13,0)),MATCH(ROW(orderHistory[customer]),ROW(orderHistory[customer])),""),ROWS($A$15:A23)+$B$3))),IF($D$13="",INDEX(orderHistory[invoice_date],SMALL(IF(ISNUMBER(MATCH(orderHistory[customer],$D$9,0)*MATCH(orderHistory[status],$D$11,0)),MATCH(ROW(orderHistory[customer]),ROW(orderHistory[customer])),""),ROWS($A$15:A23)+$B$3)),INDEX(orderHistory[invoice_date],SMALL(IF(ISNUMBER(MATCH(orderHistory[customer],$D$9,0)*MATCH(orderHistory[status],$D$11,0)*MATCH(orderHistory[order_type],$D$13,0)),MATCH(ROW(orderHistory[customer]),ROW(orderHistory[customer])),""),ROWS($A$15:A23)+$B$3))))),"")=0,"",IFERROR(IF($D$9="",IF($D$11="",IF($D$13="",INDEX(orderHistory[invoice_date],SMALL(MATCH(ROW(orderHistory[customer]),ROW(orderHistory[customer])),ROWS($A$15:A23)+$B$3)),INDEX(orderHistory[invoice_date],SMALL(IF(ISNUMBER(MATCH(orderHistory[order_type],$D$13,0)),MATCH(ROW(orderHistory[customer]),ROW(orderHistory[customer])),""),ROWS($A$15:A23)+$B$3))),IF($D$13="",INDEX(orderHistory[invoice_date],SMALL(IF(ISNUMBER(MATCH(orderHistory[status],$D$11,0)),MATCH(ROW(orderHistory[customer]),ROW(orderHistory[customer])),""),ROWS($A$15:A23)+$B$3)),INDEX(orderHistory[invoice_date],SMALL(IF(ISNUMBER(MATCH(orderHistory[status],$D$11,0)*MATCH(orderHistory[order_type],$D$13,0)),MATCH(ROW(orderHistory[customer]),ROW(orderHistory[customer])),""),ROWS($A$15:A23)+$B$3)))),IF($D$11="",IF($D$13="",INDEX(orderHistory[invoice_date],SMALL(IF(ISNUMBER(MATCH(orderHistory[customer],$D$9,0)),MATCH(ROW(orderHistory[customer]),ROW(orderHistory[customer])),""),ROWS($A$15:A23)+$B$3)),INDEX(orderHistory[invoice_date],SMALL(IF(ISNUMBER(MATCH(orderHistory[customer],$D$9,0)*MATCH(orderHistory[order_type],$D$13,0)),MATCH(ROW(orderHistory[customer]),ROW(orderHistory[customer])),""),ROWS($A$15:A23)+$B$3))),IF($D$13="",INDEX(orderHistory[invoice_date],SMALL(IF(ISNUMBER(MATCH(orderHistory[customer],$D$9,0)*MATCH(orderHistory[status],$D$11,0)),MATCH(ROW(orderHistory[customer]),ROW(orderHistory[customer])),""),ROWS($A$15:A23)+$B$3)),INDEX(orderHistory[invoice_date],SMALL(IF(ISNUMBER(MATCH(orderHistory[customer],$D$9,0)*MATCH(orderHistory[status],$D$11,0)*MATCH(orderHistory[order_type],$D$13,0)),MATCH(ROW(orderHistory[customer]),ROW(orderHistory[customer])),""),ROWS($A$15:A23)+$B$3))))),""))</f>
        <v>45379</v>
      </c>
      <c r="R18" s="377">
        <f t="array" ref="R18">IFERROR(IF($D$9="",IF($D$11="",IF($D$13="",INDEX(orderHistory[inv_amount],SMALL(MATCH(ROW(orderHistory[customer]),ROW(orderHistory[customer])),ROWS($A$15:A23)+$B$3)),INDEX(orderHistory[inv_amount],SMALL(IF(ISNUMBER(MATCH(orderHistory[order_type],$D$13,0)),MATCH(ROW(orderHistory[customer]),ROW(orderHistory[customer])),""),ROWS($A$15:A23)+$B$3))),IF($D$13="",INDEX(orderHistory[inv_amount],SMALL(IF(ISNUMBER(MATCH(orderHistory[status],$D$11,0)),MATCH(ROW(orderHistory[customer]),ROW(orderHistory[customer])),""),ROWS($A$15:A23)+$B$3)),INDEX(orderHistory[inv_amount],SMALL(IF(ISNUMBER(MATCH(orderHistory[status],$D$11,0)*MATCH(orderHistory[order_type],$D$13,0)),MATCH(ROW(orderHistory[customer]),ROW(orderHistory[customer])),""),ROWS($A$15:A23)+$B$3)))),IF($D$11="",IF($D$13="",INDEX(orderHistory[inv_amount],SMALL(IF(ISNUMBER(MATCH(orderHistory[customer],$D$9,0)),MATCH(ROW(orderHistory[customer]),ROW(orderHistory[customer])),""),ROWS($A$15:A23)+$B$3)),INDEX(orderHistory[inv_amount],SMALL(IF(ISNUMBER(MATCH(orderHistory[customer],$D$9,0)*MATCH(orderHistory[order_type],$D$13,0)),MATCH(ROW(orderHistory[customer]),ROW(orderHistory[customer])),""),ROWS($A$15:A23)+$B$3))),IF($D$13="",INDEX(orderHistory[inv_amount],SMALL(IF(ISNUMBER(MATCH(orderHistory[customer],$D$9,0)*MATCH(orderHistory[status],$D$11,0)),MATCH(ROW(orderHistory[customer]),ROW(orderHistory[customer])),""),ROWS($A$15:A23)+$B$3)),INDEX(orderHistory[inv_amount],SMALL(IF(ISNUMBER(MATCH(orderHistory[customer],$D$9,0)*MATCH(orderHistory[status],$D$11,0)*MATCH(orderHistory[order_type],$D$13,0)),MATCH(ROW(orderHistory[customer]),ROW(orderHistory[customer])),""),ROWS($A$15:A23)+$B$3))))),"")</f>
        <v>91392</v>
      </c>
      <c r="S18" s="383">
        <f t="shared" si="0"/>
        <v>6397.4400000000005</v>
      </c>
      <c r="T18" s="385" t="b">
        <f t="array" ref="T18">IFERROR(IF($D$9="",IF($D$11="",IF($D$13="",INDEX(orderHistory[payed],SMALL(MATCH(ROW(orderHistory[customer]),ROW(orderHistory[customer])),ROWS($A$15:A23)+$B$3)),INDEX(orderHistory[payed],SMALL(IF(ISNUMBER(MATCH(orderHistory[order_type],$D$13,0)),MATCH(ROW(orderHistory[customer]),ROW(orderHistory[customer])),""),ROWS($A$15:A23)+$B$3))),IF($D$13="",INDEX(orderHistory[payed],SMALL(IF(ISNUMBER(MATCH(orderHistory[status],$D$11,0)),MATCH(ROW(orderHistory[customer]),ROW(orderHistory[customer])),""),ROWS($A$15:A23)+$B$3)),INDEX(orderHistory[payed],SMALL(IF(ISNUMBER(MATCH(orderHistory[status],$D$11,0)*MATCH(orderHistory[order_type],$D$13,0)),MATCH(ROW(orderHistory[customer]),ROW(orderHistory[customer])),""),ROWS($A$15:A23)+$B$3)))),IF($D$11="",IF($D$13="",INDEX(orderHistory[payed],SMALL(IF(ISNUMBER(MATCH(orderHistory[customer],$D$9,0)),MATCH(ROW(orderHistory[customer]),ROW(orderHistory[customer])),""),ROWS($A$15:A23)+$B$3)),INDEX(orderHistory[payed],SMALL(IF(ISNUMBER(MATCH(orderHistory[customer],$D$9,0)*MATCH(orderHistory[order_type],$D$13,0)),MATCH(ROW(orderHistory[customer]),ROW(orderHistory[customer])),""),ROWS($A$15:A23)+$B$3))),IF($D$13="",INDEX(orderHistory[payed],SMALL(IF(ISNUMBER(MATCH(orderHistory[customer],$D$9,0)*MATCH(orderHistory[status],$D$11,0)),MATCH(ROW(orderHistory[customer]),ROW(orderHistory[customer])),""),ROWS($A$15:A23)+$B$3)),INDEX(orderHistory[payed],SMALL(IF(ISNUMBER(MATCH(orderHistory[customer],$D$9,0)*MATCH(orderHistory[status],$D$11,0)*MATCH(orderHistory[order_type],$D$13,0)),MATCH(ROW(orderHistory[customer]),ROW(orderHistory[customer])),""),ROWS($A$15:A23)+$B$3))))),"")</f>
        <v>1</v>
      </c>
      <c r="U18" s="386" t="str">
        <f t="array" ref="U18">IFERROR(IF($D$9="",IF($D$11="",IF($D$13="",INDEX(orderHistory[shipping_method],SMALL(MATCH(ROW(orderHistory[customer]),ROW(orderHistory[customer])),ROWS($A$15:A23)+$B$3)),INDEX(orderHistory[shipping_method],SMALL(IF(ISNUMBER(MATCH(orderHistory[order_type],$D$13,0)),MATCH(ROW(orderHistory[customer]),ROW(orderHistory[customer])),""),ROWS($A$15:A23)+$B$3))),IF($D$13="",INDEX(orderHistory[shipping_method],SMALL(IF(ISNUMBER(MATCH(orderHistory[status],$D$11,0)),MATCH(ROW(orderHistory[customer]),ROW(orderHistory[customer])),""),ROWS($A$15:A23)+$B$3)),INDEX(orderHistory[shipping_method],SMALL(IF(ISNUMBER(MATCH(orderHistory[status],$D$11,0)*MATCH(orderHistory[order_type],$D$13,0)),MATCH(ROW(orderHistory[customer]),ROW(orderHistory[customer])),""),ROWS($A$15:A23)+$B$3)))),IF($D$11="",IF($D$13="",INDEX(orderHistory[shipping_method],SMALL(IF(ISNUMBER(MATCH(orderHistory[customer],$D$9,0)),MATCH(ROW(orderHistory[customer]),ROW(orderHistory[customer])),""),ROWS($A$15:A23)+$B$3)),INDEX(orderHistory[shipping_method],SMALL(IF(ISNUMBER(MATCH(orderHistory[customer],$D$9,0)*MATCH(orderHistory[order_type],$D$13,0)),MATCH(ROW(orderHistory[customer]),ROW(orderHistory[customer])),""),ROWS($A$15:A23)+$B$3))),IF($D$13="",INDEX(orderHistory[shipping_method],SMALL(IF(ISNUMBER(MATCH(orderHistory[customer],$D$9,0)*MATCH(orderHistory[status],$D$11,0)),MATCH(ROW(orderHistory[customer]),ROW(orderHistory[customer])),""),ROWS($A$15:A23)+$B$3)),INDEX(orderHistory[shipping_method],SMALL(IF(ISNUMBER(MATCH(orderHistory[customer],$D$9,0)*MATCH(orderHistory[status],$D$11,0)*MATCH(orderHistory[order_type],$D$13,0)),MATCH(ROW(orderHistory[customer]),ROW(orderHistory[customer])),""),ROWS($A$15:A23)+$B$3))))),"")</f>
        <v>BY ROAD</v>
      </c>
      <c r="V18" s="387" t="str">
        <f t="array" ref="V18">IFERROR(IF($D$9="",IF($D$11="",IF($D$13="",INDEX(orderHistory[status],SMALL(MATCH(ROW(orderHistory[customer]),ROW(orderHistory[customer])),ROWS($A$15:A23)+$B$3)),INDEX(orderHistory[status],SMALL(IF(ISNUMBER(MATCH(orderHistory[order_type],$D$13,0)),MATCH(ROW(orderHistory[customer]),ROW(orderHistory[customer])),""),ROWS($A$15:A23)+$B$3))),IF($D$13="",INDEX(orderHistory[status],SMALL(IF(ISNUMBER(MATCH(orderHistory[status],$D$11,0)),MATCH(ROW(orderHistory[customer]),ROW(orderHistory[customer])),""),ROWS($A$15:A23)+$B$3)),INDEX(orderHistory[status],SMALL(IF(ISNUMBER(MATCH(orderHistory[status],$D$11,0)*MATCH(orderHistory[order_type],$D$13,0)),MATCH(ROW(orderHistory[customer]),ROW(orderHistory[customer])),""),ROWS($A$15:A23)+$B$3)))),IF($D$11="",IF($D$13="",INDEX(orderHistory[status],SMALL(IF(ISNUMBER(MATCH(orderHistory[customer],$D$9,0)),MATCH(ROW(orderHistory[customer]),ROW(orderHistory[customer])),""),ROWS($A$15:A23)+$B$3)),INDEX(orderHistory[status],SMALL(IF(ISNUMBER(MATCH(orderHistory[customer],$D$9,0)*MATCH(orderHistory[order_type],$D$13,0)),MATCH(ROW(orderHistory[customer]),ROW(orderHistory[customer])),""),ROWS($A$15:A23)+$B$3))),IF($D$13="",INDEX(orderHistory[status],SMALL(IF(ISNUMBER(MATCH(orderHistory[customer],$D$9,0)*MATCH(orderHistory[status],$D$11,0)),MATCH(ROW(orderHistory[customer]),ROW(orderHistory[customer])),""),ROWS($A$15:A23)+$B$3)),INDEX(orderHistory[status],SMALL(IF(ISNUMBER(MATCH(orderHistory[customer],$D$9,0)*MATCH(orderHistory[status],$D$11,0)*MATCH(orderHistory[order_type],$D$13,0)),MATCH(ROW(orderHistory[customer]),ROW(orderHistory[customer])),""),ROWS($A$15:A23)+$B$3))))),"")</f>
        <v>SHIPPED</v>
      </c>
      <c r="W18" s="111"/>
      <c r="AO18" s="74"/>
      <c r="AQ18" s="125" t="s">
        <v>1193</v>
      </c>
      <c r="AR18" s="641">
        <f>IF(INDEX(orderHistory[inv_amount],MATCH($AR$10,orderHistory[order_no],0))=0,"",INDEX(orderHistory[inv_amount],MATCH($AR$10,orderHistory[order_no],0)))</f>
        <v>8409.6</v>
      </c>
      <c r="AS18" s="375" t="s">
        <v>701</v>
      </c>
      <c r="AT18" s="987" t="s">
        <v>1257</v>
      </c>
      <c r="AU18" s="121"/>
      <c r="AW18" s="125"/>
      <c r="AX18" s="179" t="s">
        <v>704</v>
      </c>
      <c r="AY18" s="120"/>
      <c r="AZ18" s="175" t="s">
        <v>705</v>
      </c>
      <c r="BA18" s="120"/>
      <c r="BB18" s="175" t="s">
        <v>706</v>
      </c>
      <c r="BC18" s="120"/>
      <c r="BD18" s="162" t="s">
        <v>707</v>
      </c>
      <c r="BE18" s="120"/>
      <c r="BF18" s="120"/>
      <c r="BG18" s="175"/>
      <c r="BH18" s="120"/>
      <c r="BI18" s="118"/>
      <c r="BJ18" s="121"/>
      <c r="BK18" s="146"/>
      <c r="BL18" s="147"/>
      <c r="BM18" s="148"/>
      <c r="BN18" s="147"/>
      <c r="BO18" s="148"/>
      <c r="BZ18" s="304"/>
      <c r="CA18" s="270" t="str">
        <f>IF(BZ18="","",VLOOKUP(BZ18,bhpc_data[],7,FALSE))</f>
        <v/>
      </c>
      <c r="CB18" s="303"/>
      <c r="CC18" s="643"/>
      <c r="CD18" s="545"/>
      <c r="CE18" s="645"/>
      <c r="CF18" s="298"/>
      <c r="CG18" s="301" t="str">
        <f>IFERROR(ROUNDUP(CB18/VLOOKUP(BZ18,bhpc_data[],9,FALSE),0)+ROUNDUP(CD18/VLOOKUP(BZ18,bhpc_data[],9,FALSE),0),"")</f>
        <v/>
      </c>
      <c r="CH18" s="302" t="str">
        <f>IFERROR(ROUNDUP(CD18/VLOOKUP(BZ18,bhpc_data[],9,FALSE),0),"")</f>
        <v/>
      </c>
      <c r="CI18" s="302" t="str">
        <f>IFERROR(ROUNDUP(CF18/VLOOKUP(BZ18,bhpc_data[],9,FALSE),0),"")</f>
        <v/>
      </c>
      <c r="CJ18" s="302" t="str">
        <f>IFERROR(((CB18+CD18+CF18)/VLOOKUP(BZ18,bhpc_data[],9,FALSE))*VLOOKUP(BZ18,bhpc_data[],17,FALSE),"")</f>
        <v/>
      </c>
      <c r="CK18" s="302" t="str">
        <f>IFERROR(((CB18+CD18+CF18)/VLOOKUP(BZ18,bhpc_data[],9,FALSE))*VLOOKUP(BZ18,bhpc_data[],18,FALSE),"")</f>
        <v/>
      </c>
      <c r="CL18" s="346" t="str">
        <f>IFERROR((CB18+CD18)/VLOOKUP(BZ18,bhpc_data[],9,FALSE)*VLOOKUP(BZ18,bhpc_data[],14,FALSE)*VLOOKUP(BZ18,bhpc_data[],15,FALSE)*VLOOKUP(BZ18,bhpc_data[],16,FALSE)/1000000000,"")</f>
        <v/>
      </c>
      <c r="CM18" s="409" t="str">
        <f>IFERROR(VLOOKUP(BZ18,bhpc_data[],2,FALSE),"")</f>
        <v/>
      </c>
      <c r="CN18" s="409" t="str">
        <f>IFERROR(VLOOKUP(BZ18,bhpc_data[],19,FALSE),"")</f>
        <v/>
      </c>
      <c r="CO18" s="653" t="str">
        <f>IFERROR(VLOOKUP(BZ18,bhpc_data[],6,FALSE),"")</f>
        <v/>
      </c>
      <c r="CP18" s="654" t="str">
        <f>IFERROR(VLOOKUP(BZ18,inventory[],4,FALSE),"")</f>
        <v/>
      </c>
      <c r="CQ18" s="655" t="str">
        <f>IFERROR(IF(BZ18="","",IF($BX$15="SALE",VLOOKUP(BZ18,inventory[],5,FALSE),IF($BX$15="SAMPLING",VLOOKUP(BZ18,inventory[],5,FALSE),""))),"")</f>
        <v/>
      </c>
      <c r="CR18" s="656" t="str">
        <f>IFERROR(IF(BZ18="","",(CB18+CD18+CF18)*CQ18),"")</f>
        <v/>
      </c>
      <c r="CS18" s="557" t="str">
        <f>IF(BZ18="","",CB18*CC18+CD18*CE18)</f>
        <v/>
      </c>
      <c r="CU18" s="125"/>
      <c r="CV18" s="663" t="s">
        <v>702</v>
      </c>
      <c r="CW18" s="616">
        <f>SUMPRODUCT(CF10:CF110,CQ10:CQ110)</f>
        <v>0</v>
      </c>
      <c r="CX18" s="203" t="s">
        <v>703</v>
      </c>
      <c r="CY18" s="618">
        <f>IFERROR(CW18/CY12,"")</f>
        <v>0</v>
      </c>
      <c r="CZ18" s="121"/>
      <c r="DA18" s="540" t="str">
        <f>IFERROR(VLOOKUP(BZ18,bhpc_data[],22,FALSE),"")</f>
        <v/>
      </c>
      <c r="DF18" s="131"/>
      <c r="DG18" s="120"/>
      <c r="DH18" s="162"/>
      <c r="DI18" s="120"/>
      <c r="DJ18" s="911"/>
      <c r="DK18" s="912"/>
      <c r="DL18" s="120"/>
      <c r="DM18" s="915"/>
      <c r="DN18" s="916"/>
      <c r="DO18" s="120"/>
      <c r="DP18" s="120"/>
      <c r="DQ18" s="120"/>
      <c r="DR18" s="120"/>
      <c r="DS18" s="120"/>
      <c r="DT18" s="120"/>
      <c r="DU18" s="120"/>
      <c r="DV18" s="121"/>
      <c r="EE18" s="453" t="s">
        <v>57</v>
      </c>
      <c r="EF18" s="447" t="str">
        <f>VLOOKUP(EE18,bhpc_data[],7,FALSE)</f>
        <v>BHPC GIFT SET MEN #1 EDT50ML+DEO175ML+ROLLON50ML</v>
      </c>
      <c r="EG18" s="555">
        <f>IFERROR(VLOOKUP(EE18,inventory[],4,FALSE),0)</f>
        <v>309</v>
      </c>
      <c r="EH18" s="555">
        <f>IFERROR(VLOOKUP(warehouse[[#This Row],[SKU]],$EQ$10:$ES$38,3,FALSE),0)</f>
        <v>0</v>
      </c>
      <c r="EI18" s="555">
        <f>IFERROR(VLOOKUP(warehouse[[#This Row],[SKU]],$EM$10:$EO$61,3,FALSE),0)</f>
        <v>157</v>
      </c>
      <c r="EJ18" s="555">
        <f>warehouse[[#This Row],[T-1]]+warehouse[[#This Row],[SUPPLY]]-warehouse[[#This Row],[SALE + SAMPLING]]</f>
        <v>152</v>
      </c>
      <c r="EM18" s="74" t="s">
        <v>48</v>
      </c>
      <c r="EN18" s="74" t="s">
        <v>50</v>
      </c>
      <c r="EO18" s="431">
        <v>1387</v>
      </c>
      <c r="EQ18" s="74" t="s">
        <v>86</v>
      </c>
      <c r="ER18" s="74" t="s">
        <v>87</v>
      </c>
      <c r="ES18" s="446">
        <v>4608</v>
      </c>
    </row>
    <row r="19" spans="1:149" ht="15" customHeight="1" thickBot="1">
      <c r="D19" s="672" t="s">
        <v>1262</v>
      </c>
      <c r="F19" s="158"/>
      <c r="G19" s="162" t="s">
        <v>708</v>
      </c>
      <c r="H19" s="120"/>
      <c r="I19" s="120"/>
      <c r="J19" s="121"/>
      <c r="L19" s="274" t="str">
        <f t="array" ref="L19">IFERROR(IF($D$9="",IF($D$11="",IF($D$13="",INDEX(orderHistory[customer],SMALL(MATCH(ROW(orderHistory[customer]),ROW(orderHistory[customer])),ROWS($A$15:A24)+$B$3)),INDEX(orderHistory[customer],SMALL(IF(ISNUMBER(MATCH(orderHistory[order_type],$D$13,0)),MATCH(ROW(orderHistory[customer]),ROW(orderHistory[customer])),""),ROWS($A$15:A24)+$B$3))),IF($D$13="",INDEX(orderHistory[customer],SMALL(IF(ISNUMBER(MATCH(orderHistory[status],$D$11,0)),MATCH(ROW(orderHistory[customer]),ROW(orderHistory[customer])),""),ROWS($A$15:A24)+$B$3)),INDEX(orderHistory[customer],SMALL(IF(ISNUMBER(MATCH(orderHistory[status],$D$11,0)*MATCH(orderHistory[order_type],$D$13,0)),MATCH(ROW(orderHistory[customer]),ROW(orderHistory[customer])),""),ROWS($A$15:A24)+$B$3)))),IF($D$11="",IF($D$13="",INDEX(orderHistory[customer],SMALL(IF(ISNUMBER(MATCH(orderHistory[customer],$D$9,0)),MATCH(ROW(orderHistory[customer]),ROW(orderHistory[customer])),""),ROWS($A$15:A24)+$B$3)),INDEX(orderHistory[customer],SMALL(IF(ISNUMBER(MATCH(orderHistory[customer],$D$9,0)*MATCH(orderHistory[order_type],$D$13,0)),MATCH(ROW(orderHistory[customer]),ROW(orderHistory[customer])),""),ROWS($A$15:A24)+$B$3))),IF($D$13="",INDEX(orderHistory[customer],SMALL(IF(ISNUMBER(MATCH(orderHistory[customer],$D$9,0)*MATCH(orderHistory[status],$D$11,0)),MATCH(ROW(orderHistory[customer]),ROW(orderHistory[customer])),""),ROWS($A$15:A24)+$B$3)),INDEX(orderHistory[customer],SMALL(IF(ISNUMBER(MATCH(orderHistory[customer],$D$9,0)*MATCH(orderHistory[status],$D$11,0)*MATCH(orderHistory[order_type],$D$13,0)),MATCH(ROW(orderHistory[customer]),ROW(orderHistory[customer])),""),ROWS($A$15:A24)+$B$3))))),"")</f>
        <v>4BEAUTY4YOU</v>
      </c>
      <c r="M19" s="391">
        <f t="array" ref="M19">IFERROR(IF($D$9="",IF($D$11="",IF($D$13="",INDEX(orderHistory[order_no],SMALL(MATCH(ROW(orderHistory[customer]),ROW(orderHistory[customer])),ROWS($A$15:A24)+$B$3)),INDEX(orderHistory[order_no],SMALL(IF(ISNUMBER(MATCH(orderHistory[order_type],$D$13,0)),MATCH(ROW(orderHistory[customer]),ROW(orderHistory[customer])),""),ROWS($A$15:A24)+$B$3))),IF($D$13="",INDEX(orderHistory[order_no],SMALL(IF(ISNUMBER(MATCH(orderHistory[status],$D$11,0)),MATCH(ROW(orderHistory[customer]),ROW(orderHistory[customer])),""),ROWS($A$15:A24)+$B$3)),INDEX(orderHistory[order_no],SMALL(IF(ISNUMBER(MATCH(orderHistory[status],$D$11,0)*MATCH(orderHistory[order_type],$D$13,0)),MATCH(ROW(orderHistory[customer]),ROW(orderHistory[customer])),""),ROWS($A$15:A24)+$B$3)))),IF($D$11="",IF($D$13="",INDEX(orderHistory[order_no],SMALL(IF(ISNUMBER(MATCH(orderHistory[customer],$D$9,0)),MATCH(ROW(orderHistory[customer]),ROW(orderHistory[customer])),""),ROWS($A$15:A24)+$B$3)),INDEX(orderHistory[order_no],SMALL(IF(ISNUMBER(MATCH(orderHistory[customer],$D$9,0)*MATCH(orderHistory[order_type],$D$13,0)),MATCH(ROW(orderHistory[customer]),ROW(orderHistory[customer])),""),ROWS($A$15:A24)+$B$3))),IF($D$13="",INDEX(orderHistory[order_no],SMALL(IF(ISNUMBER(MATCH(orderHistory[customer],$D$9,0)*MATCH(orderHistory[status],$D$11,0)),MATCH(ROW(orderHistory[customer]),ROW(orderHistory[customer])),""),ROWS($A$15:A24)+$B$3)),INDEX(orderHistory[order_no],SMALL(IF(ISNUMBER(MATCH(orderHistory[customer],$D$9,0)*MATCH(orderHistory[status],$D$11,0)*MATCH(orderHistory[order_type],$D$13,0)),MATCH(ROW(orderHistory[customer]),ROW(orderHistory[customer])),""),ROWS($A$15:A24)+$B$3))))),"")</f>
        <v>26</v>
      </c>
      <c r="N19" s="386" t="str">
        <f t="array" ref="N19">IFERROR(IF($D$9="",IF($D$11="",IF($D$13="",INDEX(orderHistory[order_type],SMALL(MATCH(ROW(orderHistory[customer]),ROW(orderHistory[customer])),ROWS($A$15:A24)+$B$3)),INDEX(orderHistory[order_type],SMALL(IF(ISNUMBER(MATCH(orderHistory[order_type],$D$13,0)),MATCH(ROW(orderHistory[customer]),ROW(orderHistory[customer])),""),ROWS($A$15:A24)+$B$3))),IF($D$13="",INDEX(orderHistory[order_type],SMALL(IF(ISNUMBER(MATCH(orderHistory[status],$D$11,0)),MATCH(ROW(orderHistory[customer]),ROW(orderHistory[customer])),""),ROWS($A$15:A24)+$B$3)),INDEX(orderHistory[order_type],SMALL(IF(ISNUMBER(MATCH(orderHistory[status],$D$11,0)*MATCH(orderHistory[order_type],$D$13,0)),MATCH(ROW(orderHistory[customer]),ROW(orderHistory[customer])),""),ROWS($A$15:A24)+$B$3)))),IF($D$11="",IF($D$13="",INDEX(orderHistory[order_type],SMALL(IF(ISNUMBER(MATCH(orderHistory[customer],$D$9,0)),MATCH(ROW(orderHistory[customer]),ROW(orderHistory[customer])),""),ROWS($A$15:A24)+$B$3)),INDEX(orderHistory[order_type],SMALL(IF(ISNUMBER(MATCH(orderHistory[customer],$D$9,0)*MATCH(orderHistory[order_type],$D$13,0)),MATCH(ROW(orderHistory[customer]),ROW(orderHistory[customer])),""),ROWS($A$15:A24)+$B$3))),IF($D$13="",INDEX(orderHistory[order_type],SMALL(IF(ISNUMBER(MATCH(orderHistory[customer],$D$9,0)*MATCH(orderHistory[status],$D$11,0)),MATCH(ROW(orderHistory[customer]),ROW(orderHistory[customer])),""),ROWS($A$15:A24)+$B$3)),INDEX(orderHistory[order_type],SMALL(IF(ISNUMBER(MATCH(orderHistory[customer],$D$9,0)*MATCH(orderHistory[status],$D$11,0)*MATCH(orderHistory[order_type],$D$13,0)),MATCH(ROW(orderHistory[customer]),ROW(orderHistory[customer])),""),ROWS($A$15:A24)+$B$3))))),"")</f>
        <v>SALE</v>
      </c>
      <c r="O19" s="275">
        <f t="array" ref="O19">IFERROR(IF($D$9="",IF($D$11="",IF($D$13="",INDEX(orderHistory[order_date],SMALL(MATCH(ROW(orderHistory[customer]),ROW(orderHistory[customer])),ROWS($A$15:A24)+$B$3)),INDEX(orderHistory[order_date],SMALL(IF(ISNUMBER(MATCH(orderHistory[order_type],$D$13,0)),MATCH(ROW(orderHistory[customer]),ROW(orderHistory[customer])),""),ROWS($A$15:A24)+$B$3))),IF($D$13="",INDEX(orderHistory[order_date],SMALL(IF(ISNUMBER(MATCH(orderHistory[status],$D$11,0)),MATCH(ROW(orderHistory[customer]),ROW(orderHistory[customer])),""),ROWS($A$15:A24)+$B$3)),INDEX(orderHistory[order_date],SMALL(IF(ISNUMBER(MATCH(orderHistory[status],$D$11,0)*MATCH(orderHistory[order_type],$D$13,0)),MATCH(ROW(orderHistory[customer]),ROW(orderHistory[customer])),""),ROWS($A$15:A24)+$B$3)))),IF($D$11="",IF($D$13="",INDEX(orderHistory[order_date],SMALL(IF(ISNUMBER(MATCH(orderHistory[customer],$D$9,0)),MATCH(ROW(orderHistory[customer]),ROW(orderHistory[customer])),""),ROWS($A$15:A24)+$B$3)),INDEX(orderHistory[order_date],SMALL(IF(ISNUMBER(MATCH(orderHistory[customer],$D$9,0)*MATCH(orderHistory[order_type],$D$13,0)),MATCH(ROW(orderHistory[customer]),ROW(orderHistory[customer])),""),ROWS($A$15:A24)+$B$3))),IF($D$13="",INDEX(orderHistory[order_date],SMALL(IF(ISNUMBER(MATCH(orderHistory[customer],$D$9,0)*MATCH(orderHistory[status],$D$11,0)),MATCH(ROW(orderHistory[customer]),ROW(orderHistory[customer])),""),ROWS($A$15:A24)+$B$3)),INDEX(orderHistory[order_date],SMALL(IF(ISNUMBER(MATCH(orderHistory[customer],$D$9,0)*MATCH(orderHistory[status],$D$11,0)*MATCH(orderHistory[order_type],$D$13,0)),MATCH(ROW(orderHistory[customer]),ROW(orderHistory[customer])),""),ROWS($A$15:A24)+$B$3))))),"")</f>
        <v>45373</v>
      </c>
      <c r="P19" s="379">
        <f t="array" ref="P19">IF(IFERROR(IF($D$9="",IF($D$11="",IF($D$13="",INDEX(orderHistory[invoice_no],SMALL(MATCH(ROW(orderHistory[customer]),ROW(orderHistory[customer])),ROWS($A$15:A24)+$B$3)),INDEX(orderHistory[invoice_no],SMALL(IF(ISNUMBER(MATCH(orderHistory[order_type],$D$13,0)),MATCH(ROW(orderHistory[customer]),ROW(orderHistory[customer])),""),ROWS($A$15:A24)+$B$3))),IF($D$13="",INDEX(orderHistory[invoice_no],SMALL(IF(ISNUMBER(MATCH(orderHistory[status],$D$11,0)),MATCH(ROW(orderHistory[customer]),ROW(orderHistory[customer])),""),ROWS($A$15:A24)+$B$3)),INDEX(orderHistory[invoice_no],SMALL(IF(ISNUMBER(MATCH(orderHistory[status],$D$11,0)*MATCH(orderHistory[order_type],$D$13,0)),MATCH(ROW(orderHistory[customer]),ROW(orderHistory[customer])),""),ROWS($A$15:A24)+$B$3)))),IF($D$11="",IF($D$13="",INDEX(orderHistory[invoice_no],SMALL(IF(ISNUMBER(MATCH(orderHistory[customer],$D$9,0)),MATCH(ROW(orderHistory[customer]),ROW(orderHistory[customer])),""),ROWS($A$15:A24)+$B$3)),INDEX(orderHistory[invoice_no],SMALL(IF(ISNUMBER(MATCH(orderHistory[customer],$D$9,0)*MATCH(orderHistory[order_type],$D$13,0)),MATCH(ROW(orderHistory[customer]),ROW(orderHistory[customer])),""),ROWS($A$15:A24)+$B$3))),IF($D$13="",INDEX(orderHistory[invoice_no],SMALL(IF(ISNUMBER(MATCH(orderHistory[customer],$D$9,0)*MATCH(orderHistory[status],$D$11,0)),MATCH(ROW(orderHistory[customer]),ROW(orderHistory[customer])),""),ROWS($A$15:A24)+$B$3)),INDEX(orderHistory[invoice_no],SMALL(IF(ISNUMBER(MATCH(orderHistory[customer],$D$9,0)*MATCH(orderHistory[status],$D$11,0)*MATCH(orderHistory[order_type],$D$13,0)),MATCH(ROW(orderHistory[customer]),ROW(orderHistory[customer])),""),ROWS($A$15:A24)+$B$3))))),"")=0,"",IFERROR(IF($D$9="",IF($D$11="",IF($D$13="",INDEX(orderHistory[invoice_no],SMALL(MATCH(ROW(orderHistory[customer]),ROW(orderHistory[customer])),ROWS($A$15:A24)+$B$3)),INDEX(orderHistory[invoice_no],SMALL(IF(ISNUMBER(MATCH(orderHistory[order_type],$D$13,0)),MATCH(ROW(orderHistory[customer]),ROW(orderHistory[customer])),""),ROWS($A$15:A24)+$B$3))),IF($D$13="",INDEX(orderHistory[invoice_no],SMALL(IF(ISNUMBER(MATCH(orderHistory[status],$D$11,0)),MATCH(ROW(orderHistory[customer]),ROW(orderHistory[customer])),""),ROWS($A$15:A24)+$B$3)),INDEX(orderHistory[invoice_no],SMALL(IF(ISNUMBER(MATCH(orderHistory[status],$D$11,0)*MATCH(orderHistory[order_type],$D$13,0)),MATCH(ROW(orderHistory[customer]),ROW(orderHistory[customer])),""),ROWS($A$15:A24)+$B$3)))),IF($D$11="",IF($D$13="",INDEX(orderHistory[invoice_no],SMALL(IF(ISNUMBER(MATCH(orderHistory[customer],$D$9,0)),MATCH(ROW(orderHistory[customer]),ROW(orderHistory[customer])),""),ROWS($A$15:A24)+$B$3)),INDEX(orderHistory[invoice_no],SMALL(IF(ISNUMBER(MATCH(orderHistory[customer],$D$9,0)*MATCH(orderHistory[order_type],$D$13,0)),MATCH(ROW(orderHistory[customer]),ROW(orderHistory[customer])),""),ROWS($A$15:A24)+$B$3))),IF($D$13="",INDEX(orderHistory[invoice_no],SMALL(IF(ISNUMBER(MATCH(orderHistory[customer],$D$9,0)*MATCH(orderHistory[status],$D$11,0)),MATCH(ROW(orderHistory[customer]),ROW(orderHistory[customer])),""),ROWS($A$15:A24)+$B$3)),INDEX(orderHistory[invoice_no],SMALL(IF(ISNUMBER(MATCH(orderHistory[customer],$D$9,0)*MATCH(orderHistory[status],$D$11,0)*MATCH(orderHistory[order_type],$D$13,0)),MATCH(ROW(orderHistory[customer]),ROW(orderHistory[customer])),""),ROWS($A$15:A24)+$B$3))))),""))</f>
        <v>98</v>
      </c>
      <c r="Q19" s="381">
        <f t="array" ref="Q19">IF(IFERROR(IF($D$9="",IF($D$11="",IF($D$13="",INDEX(orderHistory[invoice_date],SMALL(MATCH(ROW(orderHistory[customer]),ROW(orderHistory[customer])),ROWS($A$15:A24)+$B$3)),INDEX(orderHistory[invoice_date],SMALL(IF(ISNUMBER(MATCH(orderHistory[order_type],$D$13,0)),MATCH(ROW(orderHistory[customer]),ROW(orderHistory[customer])),""),ROWS($A$15:A24)+$B$3))),IF($D$13="",INDEX(orderHistory[invoice_date],SMALL(IF(ISNUMBER(MATCH(orderHistory[status],$D$11,0)),MATCH(ROW(orderHistory[customer]),ROW(orderHistory[customer])),""),ROWS($A$15:A24)+$B$3)),INDEX(orderHistory[invoice_date],SMALL(IF(ISNUMBER(MATCH(orderHistory[status],$D$11,0)*MATCH(orderHistory[order_type],$D$13,0)),MATCH(ROW(orderHistory[customer]),ROW(orderHistory[customer])),""),ROWS($A$15:A24)+$B$3)))),IF($D$11="",IF($D$13="",INDEX(orderHistory[invoice_date],SMALL(IF(ISNUMBER(MATCH(orderHistory[customer],$D$9,0)),MATCH(ROW(orderHistory[customer]),ROW(orderHistory[customer])),""),ROWS($A$15:A24)+$B$3)),INDEX(orderHistory[invoice_date],SMALL(IF(ISNUMBER(MATCH(orderHistory[customer],$D$9,0)*MATCH(orderHistory[order_type],$D$13,0)),MATCH(ROW(orderHistory[customer]),ROW(orderHistory[customer])),""),ROWS($A$15:A24)+$B$3))),IF($D$13="",INDEX(orderHistory[invoice_date],SMALL(IF(ISNUMBER(MATCH(orderHistory[customer],$D$9,0)*MATCH(orderHistory[status],$D$11,0)),MATCH(ROW(orderHistory[customer]),ROW(orderHistory[customer])),""),ROWS($A$15:A24)+$B$3)),INDEX(orderHistory[invoice_date],SMALL(IF(ISNUMBER(MATCH(orderHistory[customer],$D$9,0)*MATCH(orderHistory[status],$D$11,0)*MATCH(orderHistory[order_type],$D$13,0)),MATCH(ROW(orderHistory[customer]),ROW(orderHistory[customer])),""),ROWS($A$15:A24)+$B$3))))),"")=0,"",IFERROR(IF($D$9="",IF($D$11="",IF($D$13="",INDEX(orderHistory[invoice_date],SMALL(MATCH(ROW(orderHistory[customer]),ROW(orderHistory[customer])),ROWS($A$15:A24)+$B$3)),INDEX(orderHistory[invoice_date],SMALL(IF(ISNUMBER(MATCH(orderHistory[order_type],$D$13,0)),MATCH(ROW(orderHistory[customer]),ROW(orderHistory[customer])),""),ROWS($A$15:A24)+$B$3))),IF($D$13="",INDEX(orderHistory[invoice_date],SMALL(IF(ISNUMBER(MATCH(orderHistory[status],$D$11,0)),MATCH(ROW(orderHistory[customer]),ROW(orderHistory[customer])),""),ROWS($A$15:A24)+$B$3)),INDEX(orderHistory[invoice_date],SMALL(IF(ISNUMBER(MATCH(orderHistory[status],$D$11,0)*MATCH(orderHistory[order_type],$D$13,0)),MATCH(ROW(orderHistory[customer]),ROW(orderHistory[customer])),""),ROWS($A$15:A24)+$B$3)))),IF($D$11="",IF($D$13="",INDEX(orderHistory[invoice_date],SMALL(IF(ISNUMBER(MATCH(orderHistory[customer],$D$9,0)),MATCH(ROW(orderHistory[customer]),ROW(orderHistory[customer])),""),ROWS($A$15:A24)+$B$3)),INDEX(orderHistory[invoice_date],SMALL(IF(ISNUMBER(MATCH(orderHistory[customer],$D$9,0)*MATCH(orderHistory[order_type],$D$13,0)),MATCH(ROW(orderHistory[customer]),ROW(orderHistory[customer])),""),ROWS($A$15:A24)+$B$3))),IF($D$13="",INDEX(orderHistory[invoice_date],SMALL(IF(ISNUMBER(MATCH(orderHistory[customer],$D$9,0)*MATCH(orderHistory[status],$D$11,0)),MATCH(ROW(orderHistory[customer]),ROW(orderHistory[customer])),""),ROWS($A$15:A24)+$B$3)),INDEX(orderHistory[invoice_date],SMALL(IF(ISNUMBER(MATCH(orderHistory[customer],$D$9,0)*MATCH(orderHistory[status],$D$11,0)*MATCH(orderHistory[order_type],$D$13,0)),MATCH(ROW(orderHistory[customer]),ROW(orderHistory[customer])),""),ROWS($A$15:A24)+$B$3))))),""))</f>
        <v>45373</v>
      </c>
      <c r="R19" s="377">
        <f t="array" ref="R19">IFERROR(IF($D$9="",IF($D$11="",IF($D$13="",INDEX(orderHistory[inv_amount],SMALL(MATCH(ROW(orderHistory[customer]),ROW(orderHistory[customer])),ROWS($A$15:A24)+$B$3)),INDEX(orderHistory[inv_amount],SMALL(IF(ISNUMBER(MATCH(orderHistory[order_type],$D$13,0)),MATCH(ROW(orderHistory[customer]),ROW(orderHistory[customer])),""),ROWS($A$15:A24)+$B$3))),IF($D$13="",INDEX(orderHistory[inv_amount],SMALL(IF(ISNUMBER(MATCH(orderHistory[status],$D$11,0)),MATCH(ROW(orderHistory[customer]),ROW(orderHistory[customer])),""),ROWS($A$15:A24)+$B$3)),INDEX(orderHistory[inv_amount],SMALL(IF(ISNUMBER(MATCH(orderHistory[status],$D$11,0)*MATCH(orderHistory[order_type],$D$13,0)),MATCH(ROW(orderHistory[customer]),ROW(orderHistory[customer])),""),ROWS($A$15:A24)+$B$3)))),IF($D$11="",IF($D$13="",INDEX(orderHistory[inv_amount],SMALL(IF(ISNUMBER(MATCH(orderHistory[customer],$D$9,0)),MATCH(ROW(orderHistory[customer]),ROW(orderHistory[customer])),""),ROWS($A$15:A24)+$B$3)),INDEX(orderHistory[inv_amount],SMALL(IF(ISNUMBER(MATCH(orderHistory[customer],$D$9,0)*MATCH(orderHistory[order_type],$D$13,0)),MATCH(ROW(orderHistory[customer]),ROW(orderHistory[customer])),""),ROWS($A$15:A24)+$B$3))),IF($D$13="",INDEX(orderHistory[inv_amount],SMALL(IF(ISNUMBER(MATCH(orderHistory[customer],$D$9,0)*MATCH(orderHistory[status],$D$11,0)),MATCH(ROW(orderHistory[customer]),ROW(orderHistory[customer])),""),ROWS($A$15:A24)+$B$3)),INDEX(orderHistory[inv_amount],SMALL(IF(ISNUMBER(MATCH(orderHistory[customer],$D$9,0)*MATCH(orderHistory[status],$D$11,0)*MATCH(orderHistory[order_type],$D$13,0)),MATCH(ROW(orderHistory[customer]),ROW(orderHistory[customer])),""),ROWS($A$15:A24)+$B$3))))),"")</f>
        <v>47915.519999999997</v>
      </c>
      <c r="S19" s="383">
        <f t="shared" si="0"/>
        <v>3354.0864000000001</v>
      </c>
      <c r="T19" s="385" t="b">
        <f t="array" ref="T19">IFERROR(IF($D$9="",IF($D$11="",IF($D$13="",INDEX(orderHistory[payed],SMALL(MATCH(ROW(orderHistory[customer]),ROW(orderHistory[customer])),ROWS($A$15:A24)+$B$3)),INDEX(orderHistory[payed],SMALL(IF(ISNUMBER(MATCH(orderHistory[order_type],$D$13,0)),MATCH(ROW(orderHistory[customer]),ROW(orderHistory[customer])),""),ROWS($A$15:A24)+$B$3))),IF($D$13="",INDEX(orderHistory[payed],SMALL(IF(ISNUMBER(MATCH(orderHistory[status],$D$11,0)),MATCH(ROW(orderHistory[customer]),ROW(orderHistory[customer])),""),ROWS($A$15:A24)+$B$3)),INDEX(orderHistory[payed],SMALL(IF(ISNUMBER(MATCH(orderHistory[status],$D$11,0)*MATCH(orderHistory[order_type],$D$13,0)),MATCH(ROW(orderHistory[customer]),ROW(orderHistory[customer])),""),ROWS($A$15:A24)+$B$3)))),IF($D$11="",IF($D$13="",INDEX(orderHistory[payed],SMALL(IF(ISNUMBER(MATCH(orderHistory[customer],$D$9,0)),MATCH(ROW(orderHistory[customer]),ROW(orderHistory[customer])),""),ROWS($A$15:A24)+$B$3)),INDEX(orderHistory[payed],SMALL(IF(ISNUMBER(MATCH(orderHistory[customer],$D$9,0)*MATCH(orderHistory[order_type],$D$13,0)),MATCH(ROW(orderHistory[customer]),ROW(orderHistory[customer])),""),ROWS($A$15:A24)+$B$3))),IF($D$13="",INDEX(orderHistory[payed],SMALL(IF(ISNUMBER(MATCH(orderHistory[customer],$D$9,0)*MATCH(orderHistory[status],$D$11,0)),MATCH(ROW(orderHistory[customer]),ROW(orderHistory[customer])),""),ROWS($A$15:A24)+$B$3)),INDEX(orderHistory[payed],SMALL(IF(ISNUMBER(MATCH(orderHistory[customer],$D$9,0)*MATCH(orderHistory[status],$D$11,0)*MATCH(orderHistory[order_type],$D$13,0)),MATCH(ROW(orderHistory[customer]),ROW(orderHistory[customer])),""),ROWS($A$15:A24)+$B$3))))),"")</f>
        <v>1</v>
      </c>
      <c r="U19" s="386" t="str">
        <f t="array" ref="U19">IFERROR(IF($D$9="",IF($D$11="",IF($D$13="",INDEX(orderHistory[shipping_method],SMALL(MATCH(ROW(orderHistory[customer]),ROW(orderHistory[customer])),ROWS($A$15:A24)+$B$3)),INDEX(orderHistory[shipping_method],SMALL(IF(ISNUMBER(MATCH(orderHistory[order_type],$D$13,0)),MATCH(ROW(orderHistory[customer]),ROW(orderHistory[customer])),""),ROWS($A$15:A24)+$B$3))),IF($D$13="",INDEX(orderHistory[shipping_method],SMALL(IF(ISNUMBER(MATCH(orderHistory[status],$D$11,0)),MATCH(ROW(orderHistory[customer]),ROW(orderHistory[customer])),""),ROWS($A$15:A24)+$B$3)),INDEX(orderHistory[shipping_method],SMALL(IF(ISNUMBER(MATCH(orderHistory[status],$D$11,0)*MATCH(orderHistory[order_type],$D$13,0)),MATCH(ROW(orderHistory[customer]),ROW(orderHistory[customer])),""),ROWS($A$15:A24)+$B$3)))),IF($D$11="",IF($D$13="",INDEX(orderHistory[shipping_method],SMALL(IF(ISNUMBER(MATCH(orderHistory[customer],$D$9,0)),MATCH(ROW(orderHistory[customer]),ROW(orderHistory[customer])),""),ROWS($A$15:A24)+$B$3)),INDEX(orderHistory[shipping_method],SMALL(IF(ISNUMBER(MATCH(orderHistory[customer],$D$9,0)*MATCH(orderHistory[order_type],$D$13,0)),MATCH(ROW(orderHistory[customer]),ROW(orderHistory[customer])),""),ROWS($A$15:A24)+$B$3))),IF($D$13="",INDEX(orderHistory[shipping_method],SMALL(IF(ISNUMBER(MATCH(orderHistory[customer],$D$9,0)*MATCH(orderHistory[status],$D$11,0)),MATCH(ROW(orderHistory[customer]),ROW(orderHistory[customer])),""),ROWS($A$15:A24)+$B$3)),INDEX(orderHistory[shipping_method],SMALL(IF(ISNUMBER(MATCH(orderHistory[customer],$D$9,0)*MATCH(orderHistory[status],$D$11,0)*MATCH(orderHistory[order_type],$D$13,0)),MATCH(ROW(orderHistory[customer]),ROW(orderHistory[customer])),""),ROWS($A$15:A24)+$B$3))))),"")</f>
        <v>BY ROAD</v>
      </c>
      <c r="V19" s="387" t="str">
        <f t="array" ref="V19">IFERROR(IF($D$9="",IF($D$11="",IF($D$13="",INDEX(orderHistory[status],SMALL(MATCH(ROW(orderHistory[customer]),ROW(orderHistory[customer])),ROWS($A$15:A24)+$B$3)),INDEX(orderHistory[status],SMALL(IF(ISNUMBER(MATCH(orderHistory[order_type],$D$13,0)),MATCH(ROW(orderHistory[customer]),ROW(orderHistory[customer])),""),ROWS($A$15:A24)+$B$3))),IF($D$13="",INDEX(orderHistory[status],SMALL(IF(ISNUMBER(MATCH(orderHistory[status],$D$11,0)),MATCH(ROW(orderHistory[customer]),ROW(orderHistory[customer])),""),ROWS($A$15:A24)+$B$3)),INDEX(orderHistory[status],SMALL(IF(ISNUMBER(MATCH(orderHistory[status],$D$11,0)*MATCH(orderHistory[order_type],$D$13,0)),MATCH(ROW(orderHistory[customer]),ROW(orderHistory[customer])),""),ROWS($A$15:A24)+$B$3)))),IF($D$11="",IF($D$13="",INDEX(orderHistory[status],SMALL(IF(ISNUMBER(MATCH(orderHistory[customer],$D$9,0)),MATCH(ROW(orderHistory[customer]),ROW(orderHistory[customer])),""),ROWS($A$15:A24)+$B$3)),INDEX(orderHistory[status],SMALL(IF(ISNUMBER(MATCH(orderHistory[customer],$D$9,0)*MATCH(orderHistory[order_type],$D$13,0)),MATCH(ROW(orderHistory[customer]),ROW(orderHistory[customer])),""),ROWS($A$15:A24)+$B$3))),IF($D$13="",INDEX(orderHistory[status],SMALL(IF(ISNUMBER(MATCH(orderHistory[customer],$D$9,0)*MATCH(orderHistory[status],$D$11,0)),MATCH(ROW(orderHistory[customer]),ROW(orderHistory[customer])),""),ROWS($A$15:A24)+$B$3)),INDEX(orderHistory[status],SMALL(IF(ISNUMBER(MATCH(orderHistory[customer],$D$9,0)*MATCH(orderHistory[status],$D$11,0)*MATCH(orderHistory[order_type],$D$13,0)),MATCH(ROW(orderHistory[customer]),ROW(orderHistory[customer])),""),ROWS($A$15:A24)+$B$3))))),"")</f>
        <v>SHIPPED</v>
      </c>
      <c r="W19" s="111"/>
      <c r="AO19" s="74"/>
      <c r="AQ19" s="125" t="s">
        <v>709</v>
      </c>
      <c r="AR19" s="641">
        <f>IF(INDEX(orderHistory[cost_of_goods],MATCH($AR$10,orderHistory[order_no],0))=0,"",INDEX(orderHistory[cost_of_goods],MATCH($AR$10,orderHistory[order_no],0)))</f>
        <v>8409.6</v>
      </c>
      <c r="AS19" s="120"/>
      <c r="AT19" s="120"/>
      <c r="AU19" s="121"/>
      <c r="AW19" s="125"/>
      <c r="AX19" s="192">
        <f>$AZ$19*$BB$19</f>
        <v>0</v>
      </c>
      <c r="AY19" s="120"/>
      <c r="AZ19" s="407">
        <v>0</v>
      </c>
      <c r="BA19" s="120"/>
      <c r="BB19" s="406">
        <v>0</v>
      </c>
      <c r="BC19" s="120"/>
      <c r="BD19" s="904"/>
      <c r="BE19" s="905"/>
      <c r="BF19" s="905"/>
      <c r="BG19" s="905"/>
      <c r="BH19" s="906"/>
      <c r="BI19" s="291"/>
      <c r="BJ19" s="121"/>
      <c r="BK19" s="146"/>
      <c r="BL19" s="147"/>
      <c r="BM19" s="148"/>
      <c r="BN19" s="147"/>
      <c r="BO19" s="148"/>
      <c r="BZ19" s="295"/>
      <c r="CA19" s="270" t="str">
        <f>IF(BZ19="","",VLOOKUP(BZ19,bhpc_data[],7,FALSE))</f>
        <v/>
      </c>
      <c r="CB19" s="296"/>
      <c r="CC19" s="642"/>
      <c r="CD19" s="297"/>
      <c r="CE19" s="645"/>
      <c r="CF19" s="298"/>
      <c r="CG19" s="301" t="str">
        <f>IFERROR(ROUNDUP(CB19/VLOOKUP(BZ19,bhpc_data[],9,FALSE),0)+ROUNDUP(CD19/VLOOKUP(BZ19,bhpc_data[],9,FALSE),0),"")</f>
        <v/>
      </c>
      <c r="CH19" s="302" t="str">
        <f>IFERROR(ROUNDUP(CD19/VLOOKUP(BZ19,bhpc_data[],9,FALSE),0),"")</f>
        <v/>
      </c>
      <c r="CI19" s="302" t="str">
        <f>IFERROR(ROUNDUP(CF19/VLOOKUP(BZ19,bhpc_data[],9,FALSE),0),"")</f>
        <v/>
      </c>
      <c r="CJ19" s="302" t="str">
        <f>IFERROR(((CB19+CD19+CF19)/VLOOKUP(BZ19,bhpc_data[],9,FALSE))*VLOOKUP(BZ19,bhpc_data[],17,FALSE),"")</f>
        <v/>
      </c>
      <c r="CK19" s="302" t="str">
        <f>IFERROR(((CB19+CD19+CF19)/VLOOKUP(BZ19,bhpc_data[],9,FALSE))*VLOOKUP(BZ19,bhpc_data[],18,FALSE),"")</f>
        <v/>
      </c>
      <c r="CL19" s="346" t="str">
        <f>IFERROR((CB19+CD19)/VLOOKUP(BZ19,bhpc_data[],9,FALSE)*VLOOKUP(BZ19,bhpc_data[],14,FALSE)*VLOOKUP(BZ19,bhpc_data[],15,FALSE)*VLOOKUP(BZ19,bhpc_data[],16,FALSE)/1000000000,"")</f>
        <v/>
      </c>
      <c r="CM19" s="409" t="str">
        <f>IFERROR(VLOOKUP(BZ19,bhpc_data[],2,FALSE),"")</f>
        <v/>
      </c>
      <c r="CN19" s="409" t="str">
        <f>IFERROR(VLOOKUP(BZ19,bhpc_data[],19,FALSE),"")</f>
        <v/>
      </c>
      <c r="CO19" s="653" t="str">
        <f>IFERROR(VLOOKUP(BZ19,bhpc_data[],6,FALSE),"")</f>
        <v/>
      </c>
      <c r="CP19" s="654" t="str">
        <f>IFERROR(VLOOKUP(BZ19,inventory[],4,FALSE),"")</f>
        <v/>
      </c>
      <c r="CQ19" s="651" t="str">
        <f>IFERROR(IF(BZ19="","",IF($BX$15="SALE",VLOOKUP(BZ19,inventory[],5,FALSE),IF($BX$15="SAMPLING",VLOOKUP(BZ19,inventory[],5,FALSE),""))),"")</f>
        <v/>
      </c>
      <c r="CR19" s="652" t="str">
        <f>IFERROR(IF(BZ19="","",(CB19+CD19+CF19)*CQ19),"")</f>
        <v/>
      </c>
      <c r="CS19" s="557" t="str">
        <f>IF(BZ19="","",CB19*CC19+CD19*CE19)</f>
        <v/>
      </c>
      <c r="CU19" s="129"/>
      <c r="CV19" s="201"/>
      <c r="CW19" s="122"/>
      <c r="CX19" s="201"/>
      <c r="CY19" s="122"/>
      <c r="CZ19" s="123"/>
      <c r="DA19" s="540" t="str">
        <f>IFERROR(VLOOKUP(BZ19,bhpc_data[],22,FALSE),"")</f>
        <v/>
      </c>
      <c r="DF19" s="131"/>
      <c r="DG19" s="120"/>
      <c r="DH19" s="162"/>
      <c r="DI19" s="120"/>
      <c r="DJ19" s="120" t="s">
        <v>687</v>
      </c>
      <c r="DK19" s="120"/>
      <c r="DL19" s="120"/>
      <c r="DM19" s="120"/>
      <c r="DN19" s="120"/>
      <c r="DO19" s="120"/>
      <c r="DP19" s="120"/>
      <c r="DQ19" s="120"/>
      <c r="DR19" s="120"/>
      <c r="DS19" s="120"/>
      <c r="DT19" s="120"/>
      <c r="DU19" s="120"/>
      <c r="DV19" s="121"/>
      <c r="EE19" s="453" t="s">
        <v>59</v>
      </c>
      <c r="EF19" s="447" t="str">
        <f>VLOOKUP(EE19,bhpc_data[],7,FALSE)</f>
        <v>BHPC GIFT SET MEN #9 EDT50ML+DEO175ML+ROLLON50ML</v>
      </c>
      <c r="EG19" s="555">
        <f>IFERROR(VLOOKUP(EE19,inventory[],4,FALSE),0)</f>
        <v>298</v>
      </c>
      <c r="EH19" s="555">
        <f>IFERROR(VLOOKUP(warehouse[[#This Row],[SKU]],$EQ$10:$ES$38,3,FALSE),0)</f>
        <v>0</v>
      </c>
      <c r="EI19" s="555">
        <f>IFERROR(VLOOKUP(warehouse[[#This Row],[SKU]],$EM$10:$EO$61,3,FALSE),0)</f>
        <v>0</v>
      </c>
      <c r="EJ19" s="555">
        <f>warehouse[[#This Row],[T-1]]+warehouse[[#This Row],[SUPPLY]]-warehouse[[#This Row],[SALE + SAMPLING]]</f>
        <v>298</v>
      </c>
      <c r="EM19" s="74" t="s">
        <v>51</v>
      </c>
      <c r="EN19" s="74" t="s">
        <v>52</v>
      </c>
      <c r="EO19" s="431">
        <v>1386</v>
      </c>
      <c r="EQ19" s="74" t="s">
        <v>88</v>
      </c>
      <c r="ER19" s="74" t="s">
        <v>89</v>
      </c>
      <c r="ES19" s="446">
        <v>4608</v>
      </c>
    </row>
    <row r="20" spans="1:149" ht="15" customHeight="1" thickBot="1">
      <c r="D20" s="673" t="s">
        <v>1299</v>
      </c>
      <c r="F20" s="154"/>
      <c r="G20" s="944" t="str">
        <f>IFERROR(INDEX(clientData[vat_no],MATCH($B$6,clientData[cod_cliente],0)),"")</f>
        <v>ESA46581666</v>
      </c>
      <c r="H20" s="945"/>
      <c r="I20" s="946"/>
      <c r="J20" s="121"/>
      <c r="L20" s="274" t="str">
        <f t="array" ref="L20">IFERROR(IF($D$9="",IF($D$11="",IF($D$13="",INDEX(orderHistory[customer],SMALL(MATCH(ROW(orderHistory[customer]),ROW(orderHistory[customer])),ROWS($A$15:A25)+$B$3)),INDEX(orderHistory[customer],SMALL(IF(ISNUMBER(MATCH(orderHistory[order_type],$D$13,0)),MATCH(ROW(orderHistory[customer]),ROW(orderHistory[customer])),""),ROWS($A$15:A25)+$B$3))),IF($D$13="",INDEX(orderHistory[customer],SMALL(IF(ISNUMBER(MATCH(orderHistory[status],$D$11,0)),MATCH(ROW(orderHistory[customer]),ROW(orderHistory[customer])),""),ROWS($A$15:A25)+$B$3)),INDEX(orderHistory[customer],SMALL(IF(ISNUMBER(MATCH(orderHistory[status],$D$11,0)*MATCH(orderHistory[order_type],$D$13,0)),MATCH(ROW(orderHistory[customer]),ROW(orderHistory[customer])),""),ROWS($A$15:A25)+$B$3)))),IF($D$11="",IF($D$13="",INDEX(orderHistory[customer],SMALL(IF(ISNUMBER(MATCH(orderHistory[customer],$D$9,0)),MATCH(ROW(orderHistory[customer]),ROW(orderHistory[customer])),""),ROWS($A$15:A25)+$B$3)),INDEX(orderHistory[customer],SMALL(IF(ISNUMBER(MATCH(orderHistory[customer],$D$9,0)*MATCH(orderHistory[order_type],$D$13,0)),MATCH(ROW(orderHistory[customer]),ROW(orderHistory[customer])),""),ROWS($A$15:A25)+$B$3))),IF($D$13="",INDEX(orderHistory[customer],SMALL(IF(ISNUMBER(MATCH(orderHistory[customer],$D$9,0)*MATCH(orderHistory[status],$D$11,0)),MATCH(ROW(orderHistory[customer]),ROW(orderHistory[customer])),""),ROWS($A$15:A25)+$B$3)),INDEX(orderHistory[customer],SMALL(IF(ISNUMBER(MATCH(orderHistory[customer],$D$9,0)*MATCH(orderHistory[status],$D$11,0)*MATCH(orderHistory[order_type],$D$13,0)),MATCH(ROW(orderHistory[customer]),ROW(orderHistory[customer])),""),ROWS($A$15:A25)+$B$3))))),"")</f>
        <v>4BEAUTY4YOU</v>
      </c>
      <c r="M20" s="391">
        <f t="array" ref="M20">IFERROR(IF($D$9="",IF($D$11="",IF($D$13="",INDEX(orderHistory[order_no],SMALL(MATCH(ROW(orderHistory[customer]),ROW(orderHistory[customer])),ROWS($A$15:A25)+$B$3)),INDEX(orderHistory[order_no],SMALL(IF(ISNUMBER(MATCH(orderHistory[order_type],$D$13,0)),MATCH(ROW(orderHistory[customer]),ROW(orderHistory[customer])),""),ROWS($A$15:A25)+$B$3))),IF($D$13="",INDEX(orderHistory[order_no],SMALL(IF(ISNUMBER(MATCH(orderHistory[status],$D$11,0)),MATCH(ROW(orderHistory[customer]),ROW(orderHistory[customer])),""),ROWS($A$15:A25)+$B$3)),INDEX(orderHistory[order_no],SMALL(IF(ISNUMBER(MATCH(orderHistory[status],$D$11,0)*MATCH(orderHistory[order_type],$D$13,0)),MATCH(ROW(orderHistory[customer]),ROW(orderHistory[customer])),""),ROWS($A$15:A25)+$B$3)))),IF($D$11="",IF($D$13="",INDEX(orderHistory[order_no],SMALL(IF(ISNUMBER(MATCH(orderHistory[customer],$D$9,0)),MATCH(ROW(orderHistory[customer]),ROW(orderHistory[customer])),""),ROWS($A$15:A25)+$B$3)),INDEX(orderHistory[order_no],SMALL(IF(ISNUMBER(MATCH(orderHistory[customer],$D$9,0)*MATCH(orderHistory[order_type],$D$13,0)),MATCH(ROW(orderHistory[customer]),ROW(orderHistory[customer])),""),ROWS($A$15:A25)+$B$3))),IF($D$13="",INDEX(orderHistory[order_no],SMALL(IF(ISNUMBER(MATCH(orderHistory[customer],$D$9,0)*MATCH(orderHistory[status],$D$11,0)),MATCH(ROW(orderHistory[customer]),ROW(orderHistory[customer])),""),ROWS($A$15:A25)+$B$3)),INDEX(orderHistory[order_no],SMALL(IF(ISNUMBER(MATCH(orderHistory[customer],$D$9,0)*MATCH(orderHistory[status],$D$11,0)*MATCH(orderHistory[order_type],$D$13,0)),MATCH(ROW(orderHistory[customer]),ROW(orderHistory[customer])),""),ROWS($A$15:A25)+$B$3))))),"")</f>
        <v>11</v>
      </c>
      <c r="N20" s="386" t="str">
        <f t="array" ref="N20">IFERROR(IF($D$9="",IF($D$11="",IF($D$13="",INDEX(orderHistory[order_type],SMALL(MATCH(ROW(orderHistory[customer]),ROW(orderHistory[customer])),ROWS($A$15:A25)+$B$3)),INDEX(orderHistory[order_type],SMALL(IF(ISNUMBER(MATCH(orderHistory[order_type],$D$13,0)),MATCH(ROW(orderHistory[customer]),ROW(orderHistory[customer])),""),ROWS($A$15:A25)+$B$3))),IF($D$13="",INDEX(orderHistory[order_type],SMALL(IF(ISNUMBER(MATCH(orderHistory[status],$D$11,0)),MATCH(ROW(orderHistory[customer]),ROW(orderHistory[customer])),""),ROWS($A$15:A25)+$B$3)),INDEX(orderHistory[order_type],SMALL(IF(ISNUMBER(MATCH(orderHistory[status],$D$11,0)*MATCH(orderHistory[order_type],$D$13,0)),MATCH(ROW(orderHistory[customer]),ROW(orderHistory[customer])),""),ROWS($A$15:A25)+$B$3)))),IF($D$11="",IF($D$13="",INDEX(orderHistory[order_type],SMALL(IF(ISNUMBER(MATCH(orderHistory[customer],$D$9,0)),MATCH(ROW(orderHistory[customer]),ROW(orderHistory[customer])),""),ROWS($A$15:A25)+$B$3)),INDEX(orderHistory[order_type],SMALL(IF(ISNUMBER(MATCH(orderHistory[customer],$D$9,0)*MATCH(orderHistory[order_type],$D$13,0)),MATCH(ROW(orderHistory[customer]),ROW(orderHistory[customer])),""),ROWS($A$15:A25)+$B$3))),IF($D$13="",INDEX(orderHistory[order_type],SMALL(IF(ISNUMBER(MATCH(orderHistory[customer],$D$9,0)*MATCH(orderHistory[status],$D$11,0)),MATCH(ROW(orderHistory[customer]),ROW(orderHistory[customer])),""),ROWS($A$15:A25)+$B$3)),INDEX(orderHistory[order_type],SMALL(IF(ISNUMBER(MATCH(orderHistory[customer],$D$9,0)*MATCH(orderHistory[status],$D$11,0)*MATCH(orderHistory[order_type],$D$13,0)),MATCH(ROW(orderHistory[customer]),ROW(orderHistory[customer])),""),ROWS($A$15:A25)+$B$3))))),"")</f>
        <v>SALE</v>
      </c>
      <c r="O20" s="275">
        <f t="array" ref="O20">IFERROR(IF($D$9="",IF($D$11="",IF($D$13="",INDEX(orderHistory[order_date],SMALL(MATCH(ROW(orderHistory[customer]),ROW(orderHistory[customer])),ROWS($A$15:A25)+$B$3)),INDEX(orderHistory[order_date],SMALL(IF(ISNUMBER(MATCH(orderHistory[order_type],$D$13,0)),MATCH(ROW(orderHistory[customer]),ROW(orderHistory[customer])),""),ROWS($A$15:A25)+$B$3))),IF($D$13="",INDEX(orderHistory[order_date],SMALL(IF(ISNUMBER(MATCH(orderHistory[status],$D$11,0)),MATCH(ROW(orderHistory[customer]),ROW(orderHistory[customer])),""),ROWS($A$15:A25)+$B$3)),INDEX(orderHistory[order_date],SMALL(IF(ISNUMBER(MATCH(orderHistory[status],$D$11,0)*MATCH(orderHistory[order_type],$D$13,0)),MATCH(ROW(orderHistory[customer]),ROW(orderHistory[customer])),""),ROWS($A$15:A25)+$B$3)))),IF($D$11="",IF($D$13="",INDEX(orderHistory[order_date],SMALL(IF(ISNUMBER(MATCH(orderHistory[customer],$D$9,0)),MATCH(ROW(orderHistory[customer]),ROW(orderHistory[customer])),""),ROWS($A$15:A25)+$B$3)),INDEX(orderHistory[order_date],SMALL(IF(ISNUMBER(MATCH(orderHistory[customer],$D$9,0)*MATCH(orderHistory[order_type],$D$13,0)),MATCH(ROW(orderHistory[customer]),ROW(orderHistory[customer])),""),ROWS($A$15:A25)+$B$3))),IF($D$13="",INDEX(orderHistory[order_date],SMALL(IF(ISNUMBER(MATCH(orderHistory[customer],$D$9,0)*MATCH(orderHistory[status],$D$11,0)),MATCH(ROW(orderHistory[customer]),ROW(orderHistory[customer])),""),ROWS($A$15:A25)+$B$3)),INDEX(orderHistory[order_date],SMALL(IF(ISNUMBER(MATCH(orderHistory[customer],$D$9,0)*MATCH(orderHistory[status],$D$11,0)*MATCH(orderHistory[order_type],$D$13,0)),MATCH(ROW(orderHistory[customer]),ROW(orderHistory[customer])),""),ROWS($A$15:A25)+$B$3))))),"")</f>
        <v>45352</v>
      </c>
      <c r="P20" s="379">
        <f t="array" ref="P20">IF(IFERROR(IF($D$9="",IF($D$11="",IF($D$13="",INDEX(orderHistory[invoice_no],SMALL(MATCH(ROW(orderHistory[customer]),ROW(orderHistory[customer])),ROWS($A$15:A25)+$B$3)),INDEX(orderHistory[invoice_no],SMALL(IF(ISNUMBER(MATCH(orderHistory[order_type],$D$13,0)),MATCH(ROW(orderHistory[customer]),ROW(orderHistory[customer])),""),ROWS($A$15:A25)+$B$3))),IF($D$13="",INDEX(orderHistory[invoice_no],SMALL(IF(ISNUMBER(MATCH(orderHistory[status],$D$11,0)),MATCH(ROW(orderHistory[customer]),ROW(orderHistory[customer])),""),ROWS($A$15:A25)+$B$3)),INDEX(orderHistory[invoice_no],SMALL(IF(ISNUMBER(MATCH(orderHistory[status],$D$11,0)*MATCH(orderHistory[order_type],$D$13,0)),MATCH(ROW(orderHistory[customer]),ROW(orderHistory[customer])),""),ROWS($A$15:A25)+$B$3)))),IF($D$11="",IF($D$13="",INDEX(orderHistory[invoice_no],SMALL(IF(ISNUMBER(MATCH(orderHistory[customer],$D$9,0)),MATCH(ROW(orderHistory[customer]),ROW(orderHistory[customer])),""),ROWS($A$15:A25)+$B$3)),INDEX(orderHistory[invoice_no],SMALL(IF(ISNUMBER(MATCH(orderHistory[customer],$D$9,0)*MATCH(orderHistory[order_type],$D$13,0)),MATCH(ROW(orderHistory[customer]),ROW(orderHistory[customer])),""),ROWS($A$15:A25)+$B$3))),IF($D$13="",INDEX(orderHistory[invoice_no],SMALL(IF(ISNUMBER(MATCH(orderHistory[customer],$D$9,0)*MATCH(orderHistory[status],$D$11,0)),MATCH(ROW(orderHistory[customer]),ROW(orderHistory[customer])),""),ROWS($A$15:A25)+$B$3)),INDEX(orderHistory[invoice_no],SMALL(IF(ISNUMBER(MATCH(orderHistory[customer],$D$9,0)*MATCH(orderHistory[status],$D$11,0)*MATCH(orderHistory[order_type],$D$13,0)),MATCH(ROW(orderHistory[customer]),ROW(orderHistory[customer])),""),ROWS($A$15:A25)+$B$3))))),"")=0,"",IFERROR(IF($D$9="",IF($D$11="",IF($D$13="",INDEX(orderHistory[invoice_no],SMALL(MATCH(ROW(orderHistory[customer]),ROW(orderHistory[customer])),ROWS($A$15:A25)+$B$3)),INDEX(orderHistory[invoice_no],SMALL(IF(ISNUMBER(MATCH(orderHistory[order_type],$D$13,0)),MATCH(ROW(orderHistory[customer]),ROW(orderHistory[customer])),""),ROWS($A$15:A25)+$B$3))),IF($D$13="",INDEX(orderHistory[invoice_no],SMALL(IF(ISNUMBER(MATCH(orderHistory[status],$D$11,0)),MATCH(ROW(orderHistory[customer]),ROW(orderHistory[customer])),""),ROWS($A$15:A25)+$B$3)),INDEX(orderHistory[invoice_no],SMALL(IF(ISNUMBER(MATCH(orderHistory[status],$D$11,0)*MATCH(orderHistory[order_type],$D$13,0)),MATCH(ROW(orderHistory[customer]),ROW(orderHistory[customer])),""),ROWS($A$15:A25)+$B$3)))),IF($D$11="",IF($D$13="",INDEX(orderHistory[invoice_no],SMALL(IF(ISNUMBER(MATCH(orderHistory[customer],$D$9,0)),MATCH(ROW(orderHistory[customer]),ROW(orderHistory[customer])),""),ROWS($A$15:A25)+$B$3)),INDEX(orderHistory[invoice_no],SMALL(IF(ISNUMBER(MATCH(orderHistory[customer],$D$9,0)*MATCH(orderHistory[order_type],$D$13,0)),MATCH(ROW(orderHistory[customer]),ROW(orderHistory[customer])),""),ROWS($A$15:A25)+$B$3))),IF($D$13="",INDEX(orderHistory[invoice_no],SMALL(IF(ISNUMBER(MATCH(orderHistory[customer],$D$9,0)*MATCH(orderHistory[status],$D$11,0)),MATCH(ROW(orderHistory[customer]),ROW(orderHistory[customer])),""),ROWS($A$15:A25)+$B$3)),INDEX(orderHistory[invoice_no],SMALL(IF(ISNUMBER(MATCH(orderHistory[customer],$D$9,0)*MATCH(orderHistory[status],$D$11,0)*MATCH(orderHistory[order_type],$D$13,0)),MATCH(ROW(orderHistory[customer]),ROW(orderHistory[customer])),""),ROWS($A$15:A25)+$B$3))))),""))</f>
        <v>90</v>
      </c>
      <c r="Q20" s="381">
        <f t="array" ref="Q20">IF(IFERROR(IF($D$9="",IF($D$11="",IF($D$13="",INDEX(orderHistory[invoice_date],SMALL(MATCH(ROW(orderHistory[customer]),ROW(orderHistory[customer])),ROWS($A$15:A25)+$B$3)),INDEX(orderHistory[invoice_date],SMALL(IF(ISNUMBER(MATCH(orderHistory[order_type],$D$13,0)),MATCH(ROW(orderHistory[customer]),ROW(orderHistory[customer])),""),ROWS($A$15:A25)+$B$3))),IF($D$13="",INDEX(orderHistory[invoice_date],SMALL(IF(ISNUMBER(MATCH(orderHistory[status],$D$11,0)),MATCH(ROW(orderHistory[customer]),ROW(orderHistory[customer])),""),ROWS($A$15:A25)+$B$3)),INDEX(orderHistory[invoice_date],SMALL(IF(ISNUMBER(MATCH(orderHistory[status],$D$11,0)*MATCH(orderHistory[order_type],$D$13,0)),MATCH(ROW(orderHistory[customer]),ROW(orderHistory[customer])),""),ROWS($A$15:A25)+$B$3)))),IF($D$11="",IF($D$13="",INDEX(orderHistory[invoice_date],SMALL(IF(ISNUMBER(MATCH(orderHistory[customer],$D$9,0)),MATCH(ROW(orderHistory[customer]),ROW(orderHistory[customer])),""),ROWS($A$15:A25)+$B$3)),INDEX(orderHistory[invoice_date],SMALL(IF(ISNUMBER(MATCH(orderHistory[customer],$D$9,0)*MATCH(orderHistory[order_type],$D$13,0)),MATCH(ROW(orderHistory[customer]),ROW(orderHistory[customer])),""),ROWS($A$15:A25)+$B$3))),IF($D$13="",INDEX(orderHistory[invoice_date],SMALL(IF(ISNUMBER(MATCH(orderHistory[customer],$D$9,0)*MATCH(orderHistory[status],$D$11,0)),MATCH(ROW(orderHistory[customer]),ROW(orderHistory[customer])),""),ROWS($A$15:A25)+$B$3)),INDEX(orderHistory[invoice_date],SMALL(IF(ISNUMBER(MATCH(orderHistory[customer],$D$9,0)*MATCH(orderHistory[status],$D$11,0)*MATCH(orderHistory[order_type],$D$13,0)),MATCH(ROW(orderHistory[customer]),ROW(orderHistory[customer])),""),ROWS($A$15:A25)+$B$3))))),"")=0,"",IFERROR(IF($D$9="",IF($D$11="",IF($D$13="",INDEX(orderHistory[invoice_date],SMALL(MATCH(ROW(orderHistory[customer]),ROW(orderHistory[customer])),ROWS($A$15:A25)+$B$3)),INDEX(orderHistory[invoice_date],SMALL(IF(ISNUMBER(MATCH(orderHistory[order_type],$D$13,0)),MATCH(ROW(orderHistory[customer]),ROW(orderHistory[customer])),""),ROWS($A$15:A25)+$B$3))),IF($D$13="",INDEX(orderHistory[invoice_date],SMALL(IF(ISNUMBER(MATCH(orderHistory[status],$D$11,0)),MATCH(ROW(orderHistory[customer]),ROW(orderHistory[customer])),""),ROWS($A$15:A25)+$B$3)),INDEX(orderHistory[invoice_date],SMALL(IF(ISNUMBER(MATCH(orderHistory[status],$D$11,0)*MATCH(orderHistory[order_type],$D$13,0)),MATCH(ROW(orderHistory[customer]),ROW(orderHistory[customer])),""),ROWS($A$15:A25)+$B$3)))),IF($D$11="",IF($D$13="",INDEX(orderHistory[invoice_date],SMALL(IF(ISNUMBER(MATCH(orderHistory[customer],$D$9,0)),MATCH(ROW(orderHistory[customer]),ROW(orderHistory[customer])),""),ROWS($A$15:A25)+$B$3)),INDEX(orderHistory[invoice_date],SMALL(IF(ISNUMBER(MATCH(orderHistory[customer],$D$9,0)*MATCH(orderHistory[order_type],$D$13,0)),MATCH(ROW(orderHistory[customer]),ROW(orderHistory[customer])),""),ROWS($A$15:A25)+$B$3))),IF($D$13="",INDEX(orderHistory[invoice_date],SMALL(IF(ISNUMBER(MATCH(orderHistory[customer],$D$9,0)*MATCH(orderHistory[status],$D$11,0)),MATCH(ROW(orderHistory[customer]),ROW(orderHistory[customer])),""),ROWS($A$15:A25)+$B$3)),INDEX(orderHistory[invoice_date],SMALL(IF(ISNUMBER(MATCH(orderHistory[customer],$D$9,0)*MATCH(orderHistory[status],$D$11,0)*MATCH(orderHistory[order_type],$D$13,0)),MATCH(ROW(orderHistory[customer]),ROW(orderHistory[customer])),""),ROWS($A$15:A25)+$B$3))))),""))</f>
        <v>45364</v>
      </c>
      <c r="R20" s="377">
        <f t="array" ref="R20">IFERROR(IF($D$9="",IF($D$11="",IF($D$13="",INDEX(orderHistory[inv_amount],SMALL(MATCH(ROW(orderHistory[customer]),ROW(orderHistory[customer])),ROWS($A$15:A25)+$B$3)),INDEX(orderHistory[inv_amount],SMALL(IF(ISNUMBER(MATCH(orderHistory[order_type],$D$13,0)),MATCH(ROW(orderHistory[customer]),ROW(orderHistory[customer])),""),ROWS($A$15:A25)+$B$3))),IF($D$13="",INDEX(orderHistory[inv_amount],SMALL(IF(ISNUMBER(MATCH(orderHistory[status],$D$11,0)),MATCH(ROW(orderHistory[customer]),ROW(orderHistory[customer])),""),ROWS($A$15:A25)+$B$3)),INDEX(orderHistory[inv_amount],SMALL(IF(ISNUMBER(MATCH(orderHistory[status],$D$11,0)*MATCH(orderHistory[order_type],$D$13,0)),MATCH(ROW(orderHistory[customer]),ROW(orderHistory[customer])),""),ROWS($A$15:A25)+$B$3)))),IF($D$11="",IF($D$13="",INDEX(orderHistory[inv_amount],SMALL(IF(ISNUMBER(MATCH(orderHistory[customer],$D$9,0)),MATCH(ROW(orderHistory[customer]),ROW(orderHistory[customer])),""),ROWS($A$15:A25)+$B$3)),INDEX(orderHistory[inv_amount],SMALL(IF(ISNUMBER(MATCH(orderHistory[customer],$D$9,0)*MATCH(orderHistory[order_type],$D$13,0)),MATCH(ROW(orderHistory[customer]),ROW(orderHistory[customer])),""),ROWS($A$15:A25)+$B$3))),IF($D$13="",INDEX(orderHistory[inv_amount],SMALL(IF(ISNUMBER(MATCH(orderHistory[customer],$D$9,0)*MATCH(orderHistory[status],$D$11,0)),MATCH(ROW(orderHistory[customer]),ROW(orderHistory[customer])),""),ROWS($A$15:A25)+$B$3)),INDEX(orderHistory[inv_amount],SMALL(IF(ISNUMBER(MATCH(orderHistory[customer],$D$9,0)*MATCH(orderHistory[status],$D$11,0)*MATCH(orderHistory[order_type],$D$13,0)),MATCH(ROW(orderHistory[customer]),ROW(orderHistory[customer])),""),ROWS($A$15:A25)+$B$3))))),"")</f>
        <v>7094.64</v>
      </c>
      <c r="S20" s="383">
        <f t="shared" si="0"/>
        <v>496.62480000000005</v>
      </c>
      <c r="T20" s="385" t="b">
        <f t="array" ref="T20">IFERROR(IF($D$9="",IF($D$11="",IF($D$13="",INDEX(orderHistory[payed],SMALL(MATCH(ROW(orderHistory[customer]),ROW(orderHistory[customer])),ROWS($A$15:A25)+$B$3)),INDEX(orderHistory[payed],SMALL(IF(ISNUMBER(MATCH(orderHistory[order_type],$D$13,0)),MATCH(ROW(orderHistory[customer]),ROW(orderHistory[customer])),""),ROWS($A$15:A25)+$B$3))),IF($D$13="",INDEX(orderHistory[payed],SMALL(IF(ISNUMBER(MATCH(orderHistory[status],$D$11,0)),MATCH(ROW(orderHistory[customer]),ROW(orderHistory[customer])),""),ROWS($A$15:A25)+$B$3)),INDEX(orderHistory[payed],SMALL(IF(ISNUMBER(MATCH(orderHistory[status],$D$11,0)*MATCH(orderHistory[order_type],$D$13,0)),MATCH(ROW(orderHistory[customer]),ROW(orderHistory[customer])),""),ROWS($A$15:A25)+$B$3)))),IF($D$11="",IF($D$13="",INDEX(orderHistory[payed],SMALL(IF(ISNUMBER(MATCH(orderHistory[customer],$D$9,0)),MATCH(ROW(orderHistory[customer]),ROW(orderHistory[customer])),""),ROWS($A$15:A25)+$B$3)),INDEX(orderHistory[payed],SMALL(IF(ISNUMBER(MATCH(orderHistory[customer],$D$9,0)*MATCH(orderHistory[order_type],$D$13,0)),MATCH(ROW(orderHistory[customer]),ROW(orderHistory[customer])),""),ROWS($A$15:A25)+$B$3))),IF($D$13="",INDEX(orderHistory[payed],SMALL(IF(ISNUMBER(MATCH(orderHistory[customer],$D$9,0)*MATCH(orderHistory[status],$D$11,0)),MATCH(ROW(orderHistory[customer]),ROW(orderHistory[customer])),""),ROWS($A$15:A25)+$B$3)),INDEX(orderHistory[payed],SMALL(IF(ISNUMBER(MATCH(orderHistory[customer],$D$9,0)*MATCH(orderHistory[status],$D$11,0)*MATCH(orderHistory[order_type],$D$13,0)),MATCH(ROW(orderHistory[customer]),ROW(orderHistory[customer])),""),ROWS($A$15:A25)+$B$3))))),"")</f>
        <v>1</v>
      </c>
      <c r="U20" s="386" t="str">
        <f t="array" ref="U20">IFERROR(IF($D$9="",IF($D$11="",IF($D$13="",INDEX(orderHistory[shipping_method],SMALL(MATCH(ROW(orderHistory[customer]),ROW(orderHistory[customer])),ROWS($A$15:A25)+$B$3)),INDEX(orderHistory[shipping_method],SMALL(IF(ISNUMBER(MATCH(orderHistory[order_type],$D$13,0)),MATCH(ROW(orderHistory[customer]),ROW(orderHistory[customer])),""),ROWS($A$15:A25)+$B$3))),IF($D$13="",INDEX(orderHistory[shipping_method],SMALL(IF(ISNUMBER(MATCH(orderHistory[status],$D$11,0)),MATCH(ROW(orderHistory[customer]),ROW(orderHistory[customer])),""),ROWS($A$15:A25)+$B$3)),INDEX(orderHistory[shipping_method],SMALL(IF(ISNUMBER(MATCH(orderHistory[status],$D$11,0)*MATCH(orderHistory[order_type],$D$13,0)),MATCH(ROW(orderHistory[customer]),ROW(orderHistory[customer])),""),ROWS($A$15:A25)+$B$3)))),IF($D$11="",IF($D$13="",INDEX(orderHistory[shipping_method],SMALL(IF(ISNUMBER(MATCH(orderHistory[customer],$D$9,0)),MATCH(ROW(orderHistory[customer]),ROW(orderHistory[customer])),""),ROWS($A$15:A25)+$B$3)),INDEX(orderHistory[shipping_method],SMALL(IF(ISNUMBER(MATCH(orderHistory[customer],$D$9,0)*MATCH(orderHistory[order_type],$D$13,0)),MATCH(ROW(orderHistory[customer]),ROW(orderHistory[customer])),""),ROWS($A$15:A25)+$B$3))),IF($D$13="",INDEX(orderHistory[shipping_method],SMALL(IF(ISNUMBER(MATCH(orderHistory[customer],$D$9,0)*MATCH(orderHistory[status],$D$11,0)),MATCH(ROW(orderHistory[customer]),ROW(orderHistory[customer])),""),ROWS($A$15:A25)+$B$3)),INDEX(orderHistory[shipping_method],SMALL(IF(ISNUMBER(MATCH(orderHistory[customer],$D$9,0)*MATCH(orderHistory[status],$D$11,0)*MATCH(orderHistory[order_type],$D$13,0)),MATCH(ROW(orderHistory[customer]),ROW(orderHistory[customer])),""),ROWS($A$15:A25)+$B$3))))),"")</f>
        <v>BY ROAD</v>
      </c>
      <c r="V20" s="387" t="str">
        <f t="array" ref="V20">IFERROR(IF($D$9="",IF($D$11="",IF($D$13="",INDEX(orderHistory[status],SMALL(MATCH(ROW(orderHistory[customer]),ROW(orderHistory[customer])),ROWS($A$15:A25)+$B$3)),INDEX(orderHistory[status],SMALL(IF(ISNUMBER(MATCH(orderHistory[order_type],$D$13,0)),MATCH(ROW(orderHistory[customer]),ROW(orderHistory[customer])),""),ROWS($A$15:A25)+$B$3))),IF($D$13="",INDEX(orderHistory[status],SMALL(IF(ISNUMBER(MATCH(orderHistory[status],$D$11,0)),MATCH(ROW(orderHistory[customer]),ROW(orderHistory[customer])),""),ROWS($A$15:A25)+$B$3)),INDEX(orderHistory[status],SMALL(IF(ISNUMBER(MATCH(orderHistory[status],$D$11,0)*MATCH(orderHistory[order_type],$D$13,0)),MATCH(ROW(orderHistory[customer]),ROW(orderHistory[customer])),""),ROWS($A$15:A25)+$B$3)))),IF($D$11="",IF($D$13="",INDEX(orderHistory[status],SMALL(IF(ISNUMBER(MATCH(orderHistory[customer],$D$9,0)),MATCH(ROW(orderHistory[customer]),ROW(orderHistory[customer])),""),ROWS($A$15:A25)+$B$3)),INDEX(orderHistory[status],SMALL(IF(ISNUMBER(MATCH(orderHistory[customer],$D$9,0)*MATCH(orderHistory[order_type],$D$13,0)),MATCH(ROW(orderHistory[customer]),ROW(orderHistory[customer])),""),ROWS($A$15:A25)+$B$3))),IF($D$13="",INDEX(orderHistory[status],SMALL(IF(ISNUMBER(MATCH(orderHistory[customer],$D$9,0)*MATCH(orderHistory[status],$D$11,0)),MATCH(ROW(orderHistory[customer]),ROW(orderHistory[customer])),""),ROWS($A$15:A25)+$B$3)),INDEX(orderHistory[status],SMALL(IF(ISNUMBER(MATCH(orderHistory[customer],$D$9,0)*MATCH(orderHistory[status],$D$11,0)*MATCH(orderHistory[order_type],$D$13,0)),MATCH(ROW(orderHistory[customer]),ROW(orderHistory[customer])),""),ROWS($A$15:A25)+$B$3))))),"")</f>
        <v>SHIPPED</v>
      </c>
      <c r="W20" s="111"/>
      <c r="AO20" s="74"/>
      <c r="AQ20" s="125" t="s">
        <v>711</v>
      </c>
      <c r="AR20" s="641">
        <f>IF(AR18="","",IF(AT13="SUPPLY","",AR18-AR19))</f>
        <v>0</v>
      </c>
      <c r="AS20" s="967" t="s">
        <v>933</v>
      </c>
      <c r="AT20" s="965">
        <f>IFERROR($AR$21-$AR$20,"")</f>
        <v>588.67200000000003</v>
      </c>
      <c r="AU20" s="121"/>
      <c r="AW20" s="125"/>
      <c r="AX20" s="120"/>
      <c r="AY20" s="120"/>
      <c r="AZ20" s="120"/>
      <c r="BA20" s="120"/>
      <c r="BB20" s="120"/>
      <c r="BC20" s="120"/>
      <c r="BD20" s="907"/>
      <c r="BE20" s="908"/>
      <c r="BF20" s="908"/>
      <c r="BG20" s="908"/>
      <c r="BH20" s="909"/>
      <c r="BI20" s="291"/>
      <c r="BJ20" s="121"/>
      <c r="BK20" s="146"/>
      <c r="BL20" s="147"/>
      <c r="BM20" s="148"/>
      <c r="BN20" s="147"/>
      <c r="BO20" s="148"/>
      <c r="BZ20" s="295"/>
      <c r="CA20" s="270" t="str">
        <f>IF(BZ20="","",VLOOKUP(BZ20,bhpc_data[],7,FALSE))</f>
        <v/>
      </c>
      <c r="CB20" s="303"/>
      <c r="CC20" s="643"/>
      <c r="CD20" s="297"/>
      <c r="CE20" s="645"/>
      <c r="CF20" s="298"/>
      <c r="CG20" s="301" t="str">
        <f>IFERROR(ROUNDUP(CB20/VLOOKUP(BZ20,bhpc_data[],9,FALSE),0)+ROUNDUP(CD20/VLOOKUP(BZ20,bhpc_data[],9,FALSE),0),"")</f>
        <v/>
      </c>
      <c r="CH20" s="302" t="str">
        <f>IFERROR(ROUNDUP(CD20/VLOOKUP(BZ20,bhpc_data[],9,FALSE),0),"")</f>
        <v/>
      </c>
      <c r="CI20" s="302" t="str">
        <f>IFERROR(ROUNDUP(CF20/VLOOKUP(BZ20,bhpc_data[],9,FALSE),0),"")</f>
        <v/>
      </c>
      <c r="CJ20" s="302" t="str">
        <f>IFERROR(((CB20+CD20+CF20)/VLOOKUP(BZ20,bhpc_data[],9,FALSE))*VLOOKUP(BZ20,bhpc_data[],17,FALSE),"")</f>
        <v/>
      </c>
      <c r="CK20" s="302" t="str">
        <f>IFERROR(((CB20+CD20+CF20)/VLOOKUP(BZ20,bhpc_data[],9,FALSE))*VLOOKUP(BZ20,bhpc_data[],18,FALSE),"")</f>
        <v/>
      </c>
      <c r="CL20" s="346" t="str">
        <f>IFERROR((CB20+CD20)/VLOOKUP(BZ20,bhpc_data[],9,FALSE)*VLOOKUP(BZ20,bhpc_data[],14,FALSE)*VLOOKUP(BZ20,bhpc_data[],15,FALSE)*VLOOKUP(BZ20,bhpc_data[],16,FALSE)/1000000000,"")</f>
        <v/>
      </c>
      <c r="CM20" s="409" t="str">
        <f>IFERROR(VLOOKUP(BZ20,bhpc_data[],2,FALSE),"")</f>
        <v/>
      </c>
      <c r="CN20" s="409" t="str">
        <f>IFERROR(VLOOKUP(BZ20,bhpc_data[],19,FALSE),"")</f>
        <v/>
      </c>
      <c r="CO20" s="653" t="str">
        <f>IFERROR(VLOOKUP(BZ20,bhpc_data[],6,FALSE),"")</f>
        <v/>
      </c>
      <c r="CP20" s="654" t="str">
        <f>IFERROR(VLOOKUP(BZ20,inventory[],4,FALSE),"")</f>
        <v/>
      </c>
      <c r="CQ20" s="655" t="str">
        <f>IFERROR(IF(BZ20="","",IF($BX$15="SALE",VLOOKUP(BZ20,inventory[],5,FALSE),IF($BX$15="SAMPLING",VLOOKUP(BZ20,inventory[],5,FALSE),""))),"")</f>
        <v/>
      </c>
      <c r="CR20" s="656" t="str">
        <f>IFERROR(IF(BZ20="","",(CB20+CD20+CF20)*CQ20),"")</f>
        <v/>
      </c>
      <c r="CS20" s="557" t="str">
        <f>IF(BZ20="","",CB20*CC20+CD20*CE20)</f>
        <v/>
      </c>
      <c r="CU20" s="204" t="s">
        <v>710</v>
      </c>
      <c r="CV20" s="136"/>
      <c r="CW20" s="136"/>
      <c r="CX20" s="137"/>
      <c r="CY20" s="136"/>
      <c r="CZ20" s="136"/>
      <c r="DA20" s="540" t="str">
        <f>IFERROR(VLOOKUP(BZ20,bhpc_data[],22,FALSE),"")</f>
        <v/>
      </c>
      <c r="DF20" s="131"/>
      <c r="DG20" s="120"/>
      <c r="DH20" s="162"/>
      <c r="DI20" s="120"/>
      <c r="DJ20" s="289"/>
      <c r="DK20" s="288"/>
      <c r="DL20" s="288"/>
      <c r="DM20" s="288"/>
      <c r="DN20" s="288"/>
      <c r="DO20" s="288"/>
      <c r="DP20" s="288"/>
      <c r="DQ20" s="288"/>
      <c r="DR20" s="288"/>
      <c r="DS20" s="288"/>
      <c r="DT20" s="288"/>
      <c r="DU20" s="290"/>
      <c r="DV20" s="121"/>
      <c r="EE20" s="453" t="s">
        <v>61</v>
      </c>
      <c r="EF20" s="447" t="str">
        <f>VLOOKUP(EE20,bhpc_data[],7,FALSE)</f>
        <v>BHPC GIFT SET MEN #8 EDT50ML+DEO175ML+ROLLON50ML</v>
      </c>
      <c r="EG20" s="555">
        <f>IFERROR(VLOOKUP(EE20,inventory[],4,FALSE),0)</f>
        <v>310</v>
      </c>
      <c r="EH20" s="555">
        <f>IFERROR(VLOOKUP(warehouse[[#This Row],[SKU]],$EQ$10:$ES$38,3,FALSE),0)</f>
        <v>0</v>
      </c>
      <c r="EI20" s="555">
        <f>IFERROR(VLOOKUP(warehouse[[#This Row],[SKU]],$EM$10:$EO$61,3,FALSE),0)</f>
        <v>0</v>
      </c>
      <c r="EJ20" s="555">
        <f>warehouse[[#This Row],[T-1]]+warehouse[[#This Row],[SUPPLY]]-warehouse[[#This Row],[SALE + SAMPLING]]</f>
        <v>310</v>
      </c>
      <c r="EM20" s="74" t="s">
        <v>53</v>
      </c>
      <c r="EN20" s="74" t="s">
        <v>54</v>
      </c>
      <c r="EO20" s="431">
        <v>1362</v>
      </c>
      <c r="EQ20" s="74" t="s">
        <v>90</v>
      </c>
      <c r="ER20" s="74" t="s">
        <v>91</v>
      </c>
      <c r="ES20" s="446">
        <v>4985</v>
      </c>
    </row>
    <row r="21" spans="1:149" ht="15" customHeight="1" thickBot="1">
      <c r="D21" s="684" t="str">
        <f>IF(VLOOKUP($B$4,orderHistory[],18,FALSE)="PREPARING",VLOOKUP($B$4,orderHistory[],42,FALSE),"")</f>
        <v/>
      </c>
      <c r="F21" s="154"/>
      <c r="G21" s="162" t="s">
        <v>712</v>
      </c>
      <c r="H21" s="120"/>
      <c r="I21" s="120"/>
      <c r="J21" s="121"/>
      <c r="L21" s="274" t="str">
        <f t="array" ref="L21">IFERROR(IF($D$9="",IF($D$11="",IF($D$13="",INDEX(orderHistory[customer],SMALL(MATCH(ROW(orderHistory[customer]),ROW(orderHistory[customer])),ROWS($A$15:A26)+$B$3)),INDEX(orderHistory[customer],SMALL(IF(ISNUMBER(MATCH(orderHistory[order_type],$D$13,0)),MATCH(ROW(orderHistory[customer]),ROW(orderHistory[customer])),""),ROWS($A$15:A26)+$B$3))),IF($D$13="",INDEX(orderHistory[customer],SMALL(IF(ISNUMBER(MATCH(orderHistory[status],$D$11,0)),MATCH(ROW(orderHistory[customer]),ROW(orderHistory[customer])),""),ROWS($A$15:A26)+$B$3)),INDEX(orderHistory[customer],SMALL(IF(ISNUMBER(MATCH(orderHistory[status],$D$11,0)*MATCH(orderHistory[order_type],$D$13,0)),MATCH(ROW(orderHistory[customer]),ROW(orderHistory[customer])),""),ROWS($A$15:A26)+$B$3)))),IF($D$11="",IF($D$13="",INDEX(orderHistory[customer],SMALL(IF(ISNUMBER(MATCH(orderHistory[customer],$D$9,0)),MATCH(ROW(orderHistory[customer]),ROW(orderHistory[customer])),""),ROWS($A$15:A26)+$B$3)),INDEX(orderHistory[customer],SMALL(IF(ISNUMBER(MATCH(orderHistory[customer],$D$9,0)*MATCH(orderHistory[order_type],$D$13,0)),MATCH(ROW(orderHistory[customer]),ROW(orderHistory[customer])),""),ROWS($A$15:A26)+$B$3))),IF($D$13="",INDEX(orderHistory[customer],SMALL(IF(ISNUMBER(MATCH(orderHistory[customer],$D$9,0)*MATCH(orderHistory[status],$D$11,0)),MATCH(ROW(orderHistory[customer]),ROW(orderHistory[customer])),""),ROWS($A$15:A26)+$B$3)),INDEX(orderHistory[customer],SMALL(IF(ISNUMBER(MATCH(orderHistory[customer],$D$9,0)*MATCH(orderHistory[status],$D$11,0)*MATCH(orderHistory[order_type],$D$13,0)),MATCH(ROW(orderHistory[customer]),ROW(orderHistory[customer])),""),ROWS($A$15:A26)+$B$3))))),"")</f>
        <v>DRUNI</v>
      </c>
      <c r="M21" s="391">
        <f t="array" ref="M21">IFERROR(IF($D$9="",IF($D$11="",IF($D$13="",INDEX(orderHistory[order_no],SMALL(MATCH(ROW(orderHistory[customer]),ROW(orderHistory[customer])),ROWS($A$15:A26)+$B$3)),INDEX(orderHistory[order_no],SMALL(IF(ISNUMBER(MATCH(orderHistory[order_type],$D$13,0)),MATCH(ROW(orderHistory[customer]),ROW(orderHistory[customer])),""),ROWS($A$15:A26)+$B$3))),IF($D$13="",INDEX(orderHistory[order_no],SMALL(IF(ISNUMBER(MATCH(orderHistory[status],$D$11,0)),MATCH(ROW(orderHistory[customer]),ROW(orderHistory[customer])),""),ROWS($A$15:A26)+$B$3)),INDEX(orderHistory[order_no],SMALL(IF(ISNUMBER(MATCH(orderHistory[status],$D$11,0)*MATCH(orderHistory[order_type],$D$13,0)),MATCH(ROW(orderHistory[customer]),ROW(orderHistory[customer])),""),ROWS($A$15:A26)+$B$3)))),IF($D$11="",IF($D$13="",INDEX(orderHistory[order_no],SMALL(IF(ISNUMBER(MATCH(orderHistory[customer],$D$9,0)),MATCH(ROW(orderHistory[customer]),ROW(orderHistory[customer])),""),ROWS($A$15:A26)+$B$3)),INDEX(orderHistory[order_no],SMALL(IF(ISNUMBER(MATCH(orderHistory[customer],$D$9,0)*MATCH(orderHistory[order_type],$D$13,0)),MATCH(ROW(orderHistory[customer]),ROW(orderHistory[customer])),""),ROWS($A$15:A26)+$B$3))),IF($D$13="",INDEX(orderHistory[order_no],SMALL(IF(ISNUMBER(MATCH(orderHistory[customer],$D$9,0)*MATCH(orderHistory[status],$D$11,0)),MATCH(ROW(orderHistory[customer]),ROW(orderHistory[customer])),""),ROWS($A$15:A26)+$B$3)),INDEX(orderHistory[order_no],SMALL(IF(ISNUMBER(MATCH(orderHistory[customer],$D$9,0)*MATCH(orderHistory[status],$D$11,0)*MATCH(orderHistory[order_type],$D$13,0)),MATCH(ROW(orderHistory[customer]),ROW(orderHistory[customer])),""),ROWS($A$15:A26)+$B$3))))),"")</f>
        <v>12</v>
      </c>
      <c r="N21" s="386" t="str">
        <f t="array" ref="N21">IFERROR(IF($D$9="",IF($D$11="",IF($D$13="",INDEX(orderHistory[order_type],SMALL(MATCH(ROW(orderHistory[customer]),ROW(orderHistory[customer])),ROWS($A$15:A26)+$B$3)),INDEX(orderHistory[order_type],SMALL(IF(ISNUMBER(MATCH(orderHistory[order_type],$D$13,0)),MATCH(ROW(orderHistory[customer]),ROW(orderHistory[customer])),""),ROWS($A$15:A26)+$B$3))),IF($D$13="",INDEX(orderHistory[order_type],SMALL(IF(ISNUMBER(MATCH(orderHistory[status],$D$11,0)),MATCH(ROW(orderHistory[customer]),ROW(orderHistory[customer])),""),ROWS($A$15:A26)+$B$3)),INDEX(orderHistory[order_type],SMALL(IF(ISNUMBER(MATCH(orderHistory[status],$D$11,0)*MATCH(orderHistory[order_type],$D$13,0)),MATCH(ROW(orderHistory[customer]),ROW(orderHistory[customer])),""),ROWS($A$15:A26)+$B$3)))),IF($D$11="",IF($D$13="",INDEX(orderHistory[order_type],SMALL(IF(ISNUMBER(MATCH(orderHistory[customer],$D$9,0)),MATCH(ROW(orderHistory[customer]),ROW(orderHistory[customer])),""),ROWS($A$15:A26)+$B$3)),INDEX(orderHistory[order_type],SMALL(IF(ISNUMBER(MATCH(orderHistory[customer],$D$9,0)*MATCH(orderHistory[order_type],$D$13,0)),MATCH(ROW(orderHistory[customer]),ROW(orderHistory[customer])),""),ROWS($A$15:A26)+$B$3))),IF($D$13="",INDEX(orderHistory[order_type],SMALL(IF(ISNUMBER(MATCH(orderHistory[customer],$D$9,0)*MATCH(orderHistory[status],$D$11,0)),MATCH(ROW(orderHistory[customer]),ROW(orderHistory[customer])),""),ROWS($A$15:A26)+$B$3)),INDEX(orderHistory[order_type],SMALL(IF(ISNUMBER(MATCH(orderHistory[customer],$D$9,0)*MATCH(orderHistory[status],$D$11,0)*MATCH(orderHistory[order_type],$D$13,0)),MATCH(ROW(orderHistory[customer]),ROW(orderHistory[customer])),""),ROWS($A$15:A26)+$B$3))))),"")</f>
        <v>SALE</v>
      </c>
      <c r="O21" s="275">
        <f t="array" ref="O21">IFERROR(IF($D$9="",IF($D$11="",IF($D$13="",INDEX(orderHistory[order_date],SMALL(MATCH(ROW(orderHistory[customer]),ROW(orderHistory[customer])),ROWS($A$15:A26)+$B$3)),INDEX(orderHistory[order_date],SMALL(IF(ISNUMBER(MATCH(orderHistory[order_type],$D$13,0)),MATCH(ROW(orderHistory[customer]),ROW(orderHistory[customer])),""),ROWS($A$15:A26)+$B$3))),IF($D$13="",INDEX(orderHistory[order_date],SMALL(IF(ISNUMBER(MATCH(orderHistory[status],$D$11,0)),MATCH(ROW(orderHistory[customer]),ROW(orderHistory[customer])),""),ROWS($A$15:A26)+$B$3)),INDEX(orderHistory[order_date],SMALL(IF(ISNUMBER(MATCH(orderHistory[status],$D$11,0)*MATCH(orderHistory[order_type],$D$13,0)),MATCH(ROW(orderHistory[customer]),ROW(orderHistory[customer])),""),ROWS($A$15:A26)+$B$3)))),IF($D$11="",IF($D$13="",INDEX(orderHistory[order_date],SMALL(IF(ISNUMBER(MATCH(orderHistory[customer],$D$9,0)),MATCH(ROW(orderHistory[customer]),ROW(orderHistory[customer])),""),ROWS($A$15:A26)+$B$3)),INDEX(orderHistory[order_date],SMALL(IF(ISNUMBER(MATCH(orderHistory[customer],$D$9,0)*MATCH(orderHistory[order_type],$D$13,0)),MATCH(ROW(orderHistory[customer]),ROW(orderHistory[customer])),""),ROWS($A$15:A26)+$B$3))),IF($D$13="",INDEX(orderHistory[order_date],SMALL(IF(ISNUMBER(MATCH(orderHistory[customer],$D$9,0)*MATCH(orderHistory[status],$D$11,0)),MATCH(ROW(orderHistory[customer]),ROW(orderHistory[customer])),""),ROWS($A$15:A26)+$B$3)),INDEX(orderHistory[order_date],SMALL(IF(ISNUMBER(MATCH(orderHistory[customer],$D$9,0)*MATCH(orderHistory[status],$D$11,0)*MATCH(orderHistory[order_type],$D$13,0)),MATCH(ROW(orderHistory[customer]),ROW(orderHistory[customer])),""),ROWS($A$15:A26)+$B$3))))),"")</f>
        <v>45355</v>
      </c>
      <c r="P21" s="379">
        <f t="array" ref="P21">IF(IFERROR(IF($D$9="",IF($D$11="",IF($D$13="",INDEX(orderHistory[invoice_no],SMALL(MATCH(ROW(orderHistory[customer]),ROW(orderHistory[customer])),ROWS($A$15:A26)+$B$3)),INDEX(orderHistory[invoice_no],SMALL(IF(ISNUMBER(MATCH(orderHistory[order_type],$D$13,0)),MATCH(ROW(orderHistory[customer]),ROW(orderHistory[customer])),""),ROWS($A$15:A26)+$B$3))),IF($D$13="",INDEX(orderHistory[invoice_no],SMALL(IF(ISNUMBER(MATCH(orderHistory[status],$D$11,0)),MATCH(ROW(orderHistory[customer]),ROW(orderHistory[customer])),""),ROWS($A$15:A26)+$B$3)),INDEX(orderHistory[invoice_no],SMALL(IF(ISNUMBER(MATCH(orderHistory[status],$D$11,0)*MATCH(orderHistory[order_type],$D$13,0)),MATCH(ROW(orderHistory[customer]),ROW(orderHistory[customer])),""),ROWS($A$15:A26)+$B$3)))),IF($D$11="",IF($D$13="",INDEX(orderHistory[invoice_no],SMALL(IF(ISNUMBER(MATCH(orderHistory[customer],$D$9,0)),MATCH(ROW(orderHistory[customer]),ROW(orderHistory[customer])),""),ROWS($A$15:A26)+$B$3)),INDEX(orderHistory[invoice_no],SMALL(IF(ISNUMBER(MATCH(orderHistory[customer],$D$9,0)*MATCH(orderHistory[order_type],$D$13,0)),MATCH(ROW(orderHistory[customer]),ROW(orderHistory[customer])),""),ROWS($A$15:A26)+$B$3))),IF($D$13="",INDEX(orderHistory[invoice_no],SMALL(IF(ISNUMBER(MATCH(orderHistory[customer],$D$9,0)*MATCH(orderHistory[status],$D$11,0)),MATCH(ROW(orderHistory[customer]),ROW(orderHistory[customer])),""),ROWS($A$15:A26)+$B$3)),INDEX(orderHistory[invoice_no],SMALL(IF(ISNUMBER(MATCH(orderHistory[customer],$D$9,0)*MATCH(orderHistory[status],$D$11,0)*MATCH(orderHistory[order_type],$D$13,0)),MATCH(ROW(orderHistory[customer]),ROW(orderHistory[customer])),""),ROWS($A$15:A26)+$B$3))))),"")=0,"",IFERROR(IF($D$9="",IF($D$11="",IF($D$13="",INDEX(orderHistory[invoice_no],SMALL(MATCH(ROW(orderHistory[customer]),ROW(orderHistory[customer])),ROWS($A$15:A26)+$B$3)),INDEX(orderHistory[invoice_no],SMALL(IF(ISNUMBER(MATCH(orderHistory[order_type],$D$13,0)),MATCH(ROW(orderHistory[customer]),ROW(orderHistory[customer])),""),ROWS($A$15:A26)+$B$3))),IF($D$13="",INDEX(orderHistory[invoice_no],SMALL(IF(ISNUMBER(MATCH(orderHistory[status],$D$11,0)),MATCH(ROW(orderHistory[customer]),ROW(orderHistory[customer])),""),ROWS($A$15:A26)+$B$3)),INDEX(orderHistory[invoice_no],SMALL(IF(ISNUMBER(MATCH(orderHistory[status],$D$11,0)*MATCH(orderHistory[order_type],$D$13,0)),MATCH(ROW(orderHistory[customer]),ROW(orderHistory[customer])),""),ROWS($A$15:A26)+$B$3)))),IF($D$11="",IF($D$13="",INDEX(orderHistory[invoice_no],SMALL(IF(ISNUMBER(MATCH(orderHistory[customer],$D$9,0)),MATCH(ROW(orderHistory[customer]),ROW(orderHistory[customer])),""),ROWS($A$15:A26)+$B$3)),INDEX(orderHistory[invoice_no],SMALL(IF(ISNUMBER(MATCH(orderHistory[customer],$D$9,0)*MATCH(orderHistory[order_type],$D$13,0)),MATCH(ROW(orderHistory[customer]),ROW(orderHistory[customer])),""),ROWS($A$15:A26)+$B$3))),IF($D$13="",INDEX(orderHistory[invoice_no],SMALL(IF(ISNUMBER(MATCH(orderHistory[customer],$D$9,0)*MATCH(orderHistory[status],$D$11,0)),MATCH(ROW(orderHistory[customer]),ROW(orderHistory[customer])),""),ROWS($A$15:A26)+$B$3)),INDEX(orderHistory[invoice_no],SMALL(IF(ISNUMBER(MATCH(orderHistory[customer],$D$9,0)*MATCH(orderHistory[status],$D$11,0)*MATCH(orderHistory[order_type],$D$13,0)),MATCH(ROW(orderHistory[customer]),ROW(orderHistory[customer])),""),ROWS($A$15:A26)+$B$3))))),""))</f>
        <v>74</v>
      </c>
      <c r="Q21" s="381">
        <f t="array" ref="Q21">IF(IFERROR(IF($D$9="",IF($D$11="",IF($D$13="",INDEX(orderHistory[invoice_date],SMALL(MATCH(ROW(orderHistory[customer]),ROW(orderHistory[customer])),ROWS($A$15:A26)+$B$3)),INDEX(orderHistory[invoice_date],SMALL(IF(ISNUMBER(MATCH(orderHistory[order_type],$D$13,0)),MATCH(ROW(orderHistory[customer]),ROW(orderHistory[customer])),""),ROWS($A$15:A26)+$B$3))),IF($D$13="",INDEX(orderHistory[invoice_date],SMALL(IF(ISNUMBER(MATCH(orderHistory[status],$D$11,0)),MATCH(ROW(orderHistory[customer]),ROW(orderHistory[customer])),""),ROWS($A$15:A26)+$B$3)),INDEX(orderHistory[invoice_date],SMALL(IF(ISNUMBER(MATCH(orderHistory[status],$D$11,0)*MATCH(orderHistory[order_type],$D$13,0)),MATCH(ROW(orderHistory[customer]),ROW(orderHistory[customer])),""),ROWS($A$15:A26)+$B$3)))),IF($D$11="",IF($D$13="",INDEX(orderHistory[invoice_date],SMALL(IF(ISNUMBER(MATCH(orderHistory[customer],$D$9,0)),MATCH(ROW(orderHistory[customer]),ROW(orderHistory[customer])),""),ROWS($A$15:A26)+$B$3)),INDEX(orderHistory[invoice_date],SMALL(IF(ISNUMBER(MATCH(orderHistory[customer],$D$9,0)*MATCH(orderHistory[order_type],$D$13,0)),MATCH(ROW(orderHistory[customer]),ROW(orderHistory[customer])),""),ROWS($A$15:A26)+$B$3))),IF($D$13="",INDEX(orderHistory[invoice_date],SMALL(IF(ISNUMBER(MATCH(orderHistory[customer],$D$9,0)*MATCH(orderHistory[status],$D$11,0)),MATCH(ROW(orderHistory[customer]),ROW(orderHistory[customer])),""),ROWS($A$15:A26)+$B$3)),INDEX(orderHistory[invoice_date],SMALL(IF(ISNUMBER(MATCH(orderHistory[customer],$D$9,0)*MATCH(orderHistory[status],$D$11,0)*MATCH(orderHistory[order_type],$D$13,0)),MATCH(ROW(orderHistory[customer]),ROW(orderHistory[customer])),""),ROWS($A$15:A26)+$B$3))))),"")=0,"",IFERROR(IF($D$9="",IF($D$11="",IF($D$13="",INDEX(orderHistory[invoice_date],SMALL(MATCH(ROW(orderHistory[customer]),ROW(orderHistory[customer])),ROWS($A$15:A26)+$B$3)),INDEX(orderHistory[invoice_date],SMALL(IF(ISNUMBER(MATCH(orderHistory[order_type],$D$13,0)),MATCH(ROW(orderHistory[customer]),ROW(orderHistory[customer])),""),ROWS($A$15:A26)+$B$3))),IF($D$13="",INDEX(orderHistory[invoice_date],SMALL(IF(ISNUMBER(MATCH(orderHistory[status],$D$11,0)),MATCH(ROW(orderHistory[customer]),ROW(orderHistory[customer])),""),ROWS($A$15:A26)+$B$3)),INDEX(orderHistory[invoice_date],SMALL(IF(ISNUMBER(MATCH(orderHistory[status],$D$11,0)*MATCH(orderHistory[order_type],$D$13,0)),MATCH(ROW(orderHistory[customer]),ROW(orderHistory[customer])),""),ROWS($A$15:A26)+$B$3)))),IF($D$11="",IF($D$13="",INDEX(orderHistory[invoice_date],SMALL(IF(ISNUMBER(MATCH(orderHistory[customer],$D$9,0)),MATCH(ROW(orderHistory[customer]),ROW(orderHistory[customer])),""),ROWS($A$15:A26)+$B$3)),INDEX(orderHistory[invoice_date],SMALL(IF(ISNUMBER(MATCH(orderHistory[customer],$D$9,0)*MATCH(orderHistory[order_type],$D$13,0)),MATCH(ROW(orderHistory[customer]),ROW(orderHistory[customer])),""),ROWS($A$15:A26)+$B$3))),IF($D$13="",INDEX(orderHistory[invoice_date],SMALL(IF(ISNUMBER(MATCH(orderHistory[customer],$D$9,0)*MATCH(orderHistory[status],$D$11,0)),MATCH(ROW(orderHistory[customer]),ROW(orderHistory[customer])),""),ROWS($A$15:A26)+$B$3)),INDEX(orderHistory[invoice_date],SMALL(IF(ISNUMBER(MATCH(orderHistory[customer],$D$9,0)*MATCH(orderHistory[status],$D$11,0)*MATCH(orderHistory[order_type],$D$13,0)),MATCH(ROW(orderHistory[customer]),ROW(orderHistory[customer])),""),ROWS($A$15:A26)+$B$3))))),""))</f>
        <v>45359</v>
      </c>
      <c r="R21" s="377">
        <f t="array" ref="R21">IFERROR(IF($D$9="",IF($D$11="",IF($D$13="",INDEX(orderHistory[inv_amount],SMALL(MATCH(ROW(orderHistory[customer]),ROW(orderHistory[customer])),ROWS($A$15:A26)+$B$3)),INDEX(orderHistory[inv_amount],SMALL(IF(ISNUMBER(MATCH(orderHistory[order_type],$D$13,0)),MATCH(ROW(orderHistory[customer]),ROW(orderHistory[customer])),""),ROWS($A$15:A26)+$B$3))),IF($D$13="",INDEX(orderHistory[inv_amount],SMALL(IF(ISNUMBER(MATCH(orderHistory[status],$D$11,0)),MATCH(ROW(orderHistory[customer]),ROW(orderHistory[customer])),""),ROWS($A$15:A26)+$B$3)),INDEX(orderHistory[inv_amount],SMALL(IF(ISNUMBER(MATCH(orderHistory[status],$D$11,0)*MATCH(orderHistory[order_type],$D$13,0)),MATCH(ROW(orderHistory[customer]),ROW(orderHistory[customer])),""),ROWS($A$15:A26)+$B$3)))),IF($D$11="",IF($D$13="",INDEX(orderHistory[inv_amount],SMALL(IF(ISNUMBER(MATCH(orderHistory[customer],$D$9,0)),MATCH(ROW(orderHistory[customer]),ROW(orderHistory[customer])),""),ROWS($A$15:A26)+$B$3)),INDEX(orderHistory[inv_amount],SMALL(IF(ISNUMBER(MATCH(orderHistory[customer],$D$9,0)*MATCH(orderHistory[order_type],$D$13,0)),MATCH(ROW(orderHistory[customer]),ROW(orderHistory[customer])),""),ROWS($A$15:A26)+$B$3))),IF($D$13="",INDEX(orderHistory[inv_amount],SMALL(IF(ISNUMBER(MATCH(orderHistory[customer],$D$9,0)*MATCH(orderHistory[status],$D$11,0)),MATCH(ROW(orderHistory[customer]),ROW(orderHistory[customer])),""),ROWS($A$15:A26)+$B$3)),INDEX(orderHistory[inv_amount],SMALL(IF(ISNUMBER(MATCH(orderHistory[customer],$D$9,0)*MATCH(orderHistory[status],$D$11,0)*MATCH(orderHistory[order_type],$D$13,0)),MATCH(ROW(orderHistory[customer]),ROW(orderHistory[customer])),""),ROWS($A$15:A26)+$B$3))))),"")</f>
        <v>22200</v>
      </c>
      <c r="S21" s="383">
        <f t="shared" si="0"/>
        <v>1554.0000000000002</v>
      </c>
      <c r="T21" s="385" t="b">
        <f t="array" ref="T21">IFERROR(IF($D$9="",IF($D$11="",IF($D$13="",INDEX(orderHistory[payed],SMALL(MATCH(ROW(orderHistory[customer]),ROW(orderHistory[customer])),ROWS($A$15:A26)+$B$3)),INDEX(orderHistory[payed],SMALL(IF(ISNUMBER(MATCH(orderHistory[order_type],$D$13,0)),MATCH(ROW(orderHistory[customer]),ROW(orderHistory[customer])),""),ROWS($A$15:A26)+$B$3))),IF($D$13="",INDEX(orderHistory[payed],SMALL(IF(ISNUMBER(MATCH(orderHistory[status],$D$11,0)),MATCH(ROW(orderHistory[customer]),ROW(orderHistory[customer])),""),ROWS($A$15:A26)+$B$3)),INDEX(orderHistory[payed],SMALL(IF(ISNUMBER(MATCH(orderHistory[status],$D$11,0)*MATCH(orderHistory[order_type],$D$13,0)),MATCH(ROW(orderHistory[customer]),ROW(orderHistory[customer])),""),ROWS($A$15:A26)+$B$3)))),IF($D$11="",IF($D$13="",INDEX(orderHistory[payed],SMALL(IF(ISNUMBER(MATCH(orderHistory[customer],$D$9,0)),MATCH(ROW(orderHistory[customer]),ROW(orderHistory[customer])),""),ROWS($A$15:A26)+$B$3)),INDEX(orderHistory[payed],SMALL(IF(ISNUMBER(MATCH(orderHistory[customer],$D$9,0)*MATCH(orderHistory[order_type],$D$13,0)),MATCH(ROW(orderHistory[customer]),ROW(orderHistory[customer])),""),ROWS($A$15:A26)+$B$3))),IF($D$13="",INDEX(orderHistory[payed],SMALL(IF(ISNUMBER(MATCH(orderHistory[customer],$D$9,0)*MATCH(orderHistory[status],$D$11,0)),MATCH(ROW(orderHistory[customer]),ROW(orderHistory[customer])),""),ROWS($A$15:A26)+$B$3)),INDEX(orderHistory[payed],SMALL(IF(ISNUMBER(MATCH(orderHistory[customer],$D$9,0)*MATCH(orderHistory[status],$D$11,0)*MATCH(orderHistory[order_type],$D$13,0)),MATCH(ROW(orderHistory[customer]),ROW(orderHistory[customer])),""),ROWS($A$15:A26)+$B$3))))),"")</f>
        <v>1</v>
      </c>
      <c r="U21" s="386" t="str">
        <f t="array" ref="U21">IFERROR(IF($D$9="",IF($D$11="",IF($D$13="",INDEX(orderHistory[shipping_method],SMALL(MATCH(ROW(orderHistory[customer]),ROW(orderHistory[customer])),ROWS($A$15:A26)+$B$3)),INDEX(orderHistory[shipping_method],SMALL(IF(ISNUMBER(MATCH(orderHistory[order_type],$D$13,0)),MATCH(ROW(orderHistory[customer]),ROW(orderHistory[customer])),""),ROWS($A$15:A26)+$B$3))),IF($D$13="",INDEX(orderHistory[shipping_method],SMALL(IF(ISNUMBER(MATCH(orderHistory[status],$D$11,0)),MATCH(ROW(orderHistory[customer]),ROW(orderHistory[customer])),""),ROWS($A$15:A26)+$B$3)),INDEX(orderHistory[shipping_method],SMALL(IF(ISNUMBER(MATCH(orderHistory[status],$D$11,0)*MATCH(orderHistory[order_type],$D$13,0)),MATCH(ROW(orderHistory[customer]),ROW(orderHistory[customer])),""),ROWS($A$15:A26)+$B$3)))),IF($D$11="",IF($D$13="",INDEX(orderHistory[shipping_method],SMALL(IF(ISNUMBER(MATCH(orderHistory[customer],$D$9,0)),MATCH(ROW(orderHistory[customer]),ROW(orderHistory[customer])),""),ROWS($A$15:A26)+$B$3)),INDEX(orderHistory[shipping_method],SMALL(IF(ISNUMBER(MATCH(orderHistory[customer],$D$9,0)*MATCH(orderHistory[order_type],$D$13,0)),MATCH(ROW(orderHistory[customer]),ROW(orderHistory[customer])),""),ROWS($A$15:A26)+$B$3))),IF($D$13="",INDEX(orderHistory[shipping_method],SMALL(IF(ISNUMBER(MATCH(orderHistory[customer],$D$9,0)*MATCH(orderHistory[status],$D$11,0)),MATCH(ROW(orderHistory[customer]),ROW(orderHistory[customer])),""),ROWS($A$15:A26)+$B$3)),INDEX(orderHistory[shipping_method],SMALL(IF(ISNUMBER(MATCH(orderHistory[customer],$D$9,0)*MATCH(orderHistory[status],$D$11,0)*MATCH(orderHistory[order_type],$D$13,0)),MATCH(ROW(orderHistory[customer]),ROW(orderHistory[customer])),""),ROWS($A$15:A26)+$B$3))))),"")</f>
        <v>BY ROAD</v>
      </c>
      <c r="V21" s="387" t="str">
        <f t="array" ref="V21">IFERROR(IF($D$9="",IF($D$11="",IF($D$13="",INDEX(orderHistory[status],SMALL(MATCH(ROW(orderHistory[customer]),ROW(orderHistory[customer])),ROWS($A$15:A26)+$B$3)),INDEX(orderHistory[status],SMALL(IF(ISNUMBER(MATCH(orderHistory[order_type],$D$13,0)),MATCH(ROW(orderHistory[customer]),ROW(orderHistory[customer])),""),ROWS($A$15:A26)+$B$3))),IF($D$13="",INDEX(orderHistory[status],SMALL(IF(ISNUMBER(MATCH(orderHistory[status],$D$11,0)),MATCH(ROW(orderHistory[customer]),ROW(orderHistory[customer])),""),ROWS($A$15:A26)+$B$3)),INDEX(orderHistory[status],SMALL(IF(ISNUMBER(MATCH(orderHistory[status],$D$11,0)*MATCH(orderHistory[order_type],$D$13,0)),MATCH(ROW(orderHistory[customer]),ROW(orderHistory[customer])),""),ROWS($A$15:A26)+$B$3)))),IF($D$11="",IF($D$13="",INDEX(orderHistory[status],SMALL(IF(ISNUMBER(MATCH(orderHistory[customer],$D$9,0)),MATCH(ROW(orderHistory[customer]),ROW(orderHistory[customer])),""),ROWS($A$15:A26)+$B$3)),INDEX(orderHistory[status],SMALL(IF(ISNUMBER(MATCH(orderHistory[customer],$D$9,0)*MATCH(orderHistory[order_type],$D$13,0)),MATCH(ROW(orderHistory[customer]),ROW(orderHistory[customer])),""),ROWS($A$15:A26)+$B$3))),IF($D$13="",INDEX(orderHistory[status],SMALL(IF(ISNUMBER(MATCH(orderHistory[customer],$D$9,0)*MATCH(orderHistory[status],$D$11,0)),MATCH(ROW(orderHistory[customer]),ROW(orderHistory[customer])),""),ROWS($A$15:A26)+$B$3)),INDEX(orderHistory[status],SMALL(IF(ISNUMBER(MATCH(orderHistory[customer],$D$9,0)*MATCH(orderHistory[status],$D$11,0)*MATCH(orderHistory[order_type],$D$13,0)),MATCH(ROW(orderHistory[customer]),ROW(orderHistory[customer])),""),ROWS($A$15:A26)+$B$3))))),"")</f>
        <v>SHIPPED</v>
      </c>
      <c r="W21" s="111"/>
      <c r="AO21" s="74"/>
      <c r="AQ21" s="125" t="s">
        <v>713</v>
      </c>
      <c r="AR21" s="641">
        <f>IF(AR18="","",IF(AT13="SUPPLY","",AR18*7%))</f>
        <v>588.67200000000003</v>
      </c>
      <c r="AS21" s="967"/>
      <c r="AT21" s="966"/>
      <c r="AU21" s="121"/>
      <c r="AW21" s="125"/>
      <c r="AX21" s="162" t="s">
        <v>714</v>
      </c>
      <c r="AY21" s="120"/>
      <c r="AZ21" s="175" t="s">
        <v>705</v>
      </c>
      <c r="BA21" s="120"/>
      <c r="BB21" s="175" t="s">
        <v>706</v>
      </c>
      <c r="BC21" s="120"/>
      <c r="BD21" s="162" t="s">
        <v>707</v>
      </c>
      <c r="BE21" s="120"/>
      <c r="BF21" s="120"/>
      <c r="BG21" s="175"/>
      <c r="BH21" s="120"/>
      <c r="BI21" s="291"/>
      <c r="BJ21" s="121"/>
      <c r="BK21" s="146"/>
      <c r="BL21" s="147"/>
      <c r="BM21" s="148"/>
      <c r="BN21" s="147"/>
      <c r="BO21" s="148"/>
      <c r="BZ21" s="295"/>
      <c r="CA21" s="270" t="str">
        <f>IF(BZ21="","",VLOOKUP(BZ21,bhpc_data[],7,FALSE))</f>
        <v/>
      </c>
      <c r="CB21" s="296"/>
      <c r="CC21" s="642"/>
      <c r="CD21" s="297"/>
      <c r="CE21" s="645"/>
      <c r="CF21" s="298"/>
      <c r="CG21" s="301" t="str">
        <f>IFERROR(ROUNDUP(CB21/VLOOKUP(BZ21,bhpc_data[],9,FALSE),0)+ROUNDUP(CD21/VLOOKUP(BZ21,bhpc_data[],9,FALSE),0),"")</f>
        <v/>
      </c>
      <c r="CH21" s="302" t="str">
        <f>IFERROR(ROUNDUP(CD21/VLOOKUP(BZ21,bhpc_data[],9,FALSE),0),"")</f>
        <v/>
      </c>
      <c r="CI21" s="302" t="str">
        <f>IFERROR(ROUNDUP(CF21/VLOOKUP(BZ21,bhpc_data[],9,FALSE),0),"")</f>
        <v/>
      </c>
      <c r="CJ21" s="302" t="str">
        <f>IFERROR(((CB21+CD21+CF21)/VLOOKUP(BZ21,bhpc_data[],9,FALSE))*VLOOKUP(BZ21,bhpc_data[],17,FALSE),"")</f>
        <v/>
      </c>
      <c r="CK21" s="302" t="str">
        <f>IFERROR(((CB21+CD21+CF21)/VLOOKUP(BZ21,bhpc_data[],9,FALSE))*VLOOKUP(BZ21,bhpc_data[],18,FALSE),"")</f>
        <v/>
      </c>
      <c r="CL21" s="346" t="str">
        <f>IFERROR((CB21+CD21)/VLOOKUP(BZ21,bhpc_data[],9,FALSE)*VLOOKUP(BZ21,bhpc_data[],14,FALSE)*VLOOKUP(BZ21,bhpc_data[],15,FALSE)*VLOOKUP(BZ21,bhpc_data[],16,FALSE)/1000000000,"")</f>
        <v/>
      </c>
      <c r="CM21" s="409" t="str">
        <f>IFERROR(VLOOKUP(BZ21,bhpc_data[],2,FALSE),"")</f>
        <v/>
      </c>
      <c r="CN21" s="409" t="str">
        <f>IFERROR(VLOOKUP(BZ21,bhpc_data[],19,FALSE),"")</f>
        <v/>
      </c>
      <c r="CO21" s="653" t="str">
        <f>IFERROR(VLOOKUP(BZ21,bhpc_data[],6,FALSE),"")</f>
        <v/>
      </c>
      <c r="CP21" s="654" t="str">
        <f>IFERROR(VLOOKUP(BZ21,inventory[],4,FALSE),"")</f>
        <v/>
      </c>
      <c r="CQ21" s="651" t="str">
        <f>IFERROR(IF(BZ21="","",IF($BX$15="SALE",VLOOKUP(BZ21,inventory[],5,FALSE),IF($BX$15="SAMPLING",VLOOKUP(BZ21,inventory[],5,FALSE),""))),"")</f>
        <v/>
      </c>
      <c r="CR21" s="652" t="str">
        <f>IFERROR(IF(BZ21="","",(CB21+CD21+CF21)*CQ21),"")</f>
        <v/>
      </c>
      <c r="CS21" s="557" t="str">
        <f>IF(BZ21="","",CB21*CC21+CD21*CE21)</f>
        <v/>
      </c>
      <c r="CU21" s="125"/>
      <c r="CV21" s="120"/>
      <c r="CW21" s="120"/>
      <c r="CX21" s="134"/>
      <c r="CY21" s="120"/>
      <c r="CZ21" s="121"/>
      <c r="DA21" s="540" t="str">
        <f>IFERROR(VLOOKUP(BZ21,bhpc_data[],22,FALSE),"")</f>
        <v/>
      </c>
      <c r="DF21" s="167"/>
      <c r="DG21" s="122"/>
      <c r="DH21" s="168"/>
      <c r="DI21" s="122"/>
      <c r="DJ21" s="122"/>
      <c r="DK21" s="122"/>
      <c r="DL21" s="122"/>
      <c r="DM21" s="122"/>
      <c r="DN21" s="122"/>
      <c r="DO21" s="122"/>
      <c r="DP21" s="122"/>
      <c r="DQ21" s="122"/>
      <c r="DR21" s="122"/>
      <c r="DS21" s="122"/>
      <c r="DT21" s="122"/>
      <c r="DU21" s="122"/>
      <c r="DV21" s="123"/>
      <c r="EE21" s="453" t="s">
        <v>63</v>
      </c>
      <c r="EF21" s="447" t="str">
        <f>VLOOKUP(EE21,bhpc_data[],7,FALSE)</f>
        <v>BHPC GIFT SET MEN #2 EDT50ML+DEO175ML+ROLLON50ML</v>
      </c>
      <c r="EG21" s="555">
        <f>IFERROR(VLOOKUP(EE21,inventory[],4,FALSE),0)</f>
        <v>12</v>
      </c>
      <c r="EH21" s="555">
        <f>IFERROR(VLOOKUP(warehouse[[#This Row],[SKU]],$EQ$10:$ES$38,3,FALSE),0)</f>
        <v>0</v>
      </c>
      <c r="EI21" s="555">
        <f>IFERROR(VLOOKUP(warehouse[[#This Row],[SKU]],$EM$10:$EO$61,3,FALSE),0)</f>
        <v>0</v>
      </c>
      <c r="EJ21" s="555">
        <f>warehouse[[#This Row],[T-1]]+warehouse[[#This Row],[SUPPLY]]-warehouse[[#This Row],[SALE + SAMPLING]]</f>
        <v>12</v>
      </c>
      <c r="EM21" s="74" t="s">
        <v>55</v>
      </c>
      <c r="EN21" s="74" t="s">
        <v>56</v>
      </c>
      <c r="EO21" s="431">
        <v>1362</v>
      </c>
      <c r="EQ21" s="74" t="s">
        <v>127</v>
      </c>
      <c r="ER21" s="74" t="s">
        <v>129</v>
      </c>
      <c r="ES21" s="446">
        <v>4942</v>
      </c>
    </row>
    <row r="22" spans="1:149" ht="15" customHeight="1" thickBot="1">
      <c r="D22" s="682" t="s">
        <v>1300</v>
      </c>
      <c r="F22" s="154"/>
      <c r="G22" s="926" t="str">
        <f>IFERROR(INDEX(clientData[hq_address1],MATCH($B$6,clientData[cod_cliente],0)),"")</f>
        <v>CALLE LEVANTE, 24</v>
      </c>
      <c r="H22" s="927"/>
      <c r="I22" s="928"/>
      <c r="J22" s="121"/>
      <c r="L22" s="274" t="str">
        <f t="array" ref="L22">IFERROR(IF($D$9="",IF($D$11="",IF($D$13="",INDEX(orderHistory[customer],SMALL(MATCH(ROW(orderHistory[customer]),ROW(orderHistory[customer])),ROWS($A$15:A27)+$B$3)),INDEX(orderHistory[customer],SMALL(IF(ISNUMBER(MATCH(orderHistory[order_type],$D$13,0)),MATCH(ROW(orderHistory[customer]),ROW(orderHistory[customer])),""),ROWS($A$15:A27)+$B$3))),IF($D$13="",INDEX(orderHistory[customer],SMALL(IF(ISNUMBER(MATCH(orderHistory[status],$D$11,0)),MATCH(ROW(orderHistory[customer]),ROW(orderHistory[customer])),""),ROWS($A$15:A27)+$B$3)),INDEX(orderHistory[customer],SMALL(IF(ISNUMBER(MATCH(orderHistory[status],$D$11,0)*MATCH(orderHistory[order_type],$D$13,0)),MATCH(ROW(orderHistory[customer]),ROW(orderHistory[customer])),""),ROWS($A$15:A27)+$B$3)))),IF($D$11="",IF($D$13="",INDEX(orderHistory[customer],SMALL(IF(ISNUMBER(MATCH(orderHistory[customer],$D$9,0)),MATCH(ROW(orderHistory[customer]),ROW(orderHistory[customer])),""),ROWS($A$15:A27)+$B$3)),INDEX(orderHistory[customer],SMALL(IF(ISNUMBER(MATCH(orderHistory[customer],$D$9,0)*MATCH(orderHistory[order_type],$D$13,0)),MATCH(ROW(orderHistory[customer]),ROW(orderHistory[customer])),""),ROWS($A$15:A27)+$B$3))),IF($D$13="",INDEX(orderHistory[customer],SMALL(IF(ISNUMBER(MATCH(orderHistory[customer],$D$9,0)*MATCH(orderHistory[status],$D$11,0)),MATCH(ROW(orderHistory[customer]),ROW(orderHistory[customer])),""),ROWS($A$15:A27)+$B$3)),INDEX(orderHistory[customer],SMALL(IF(ISNUMBER(MATCH(orderHistory[customer],$D$9,0)*MATCH(orderHistory[status],$D$11,0)*MATCH(orderHistory[order_type],$D$13,0)),MATCH(ROW(orderHistory[customer]),ROW(orderHistory[customer])),""),ROWS($A$15:A27)+$B$3))))),"")</f>
        <v>PRESTIGE BRANDS</v>
      </c>
      <c r="M22" s="391">
        <f t="array" ref="M22">IFERROR(IF($D$9="",IF($D$11="",IF($D$13="",INDEX(orderHistory[order_no],SMALL(MATCH(ROW(orderHistory[customer]),ROW(orderHistory[customer])),ROWS($A$15:A27)+$B$3)),INDEX(orderHistory[order_no],SMALL(IF(ISNUMBER(MATCH(orderHistory[order_type],$D$13,0)),MATCH(ROW(orderHistory[customer]),ROW(orderHistory[customer])),""),ROWS($A$15:A27)+$B$3))),IF($D$13="",INDEX(orderHistory[order_no],SMALL(IF(ISNUMBER(MATCH(orderHistory[status],$D$11,0)),MATCH(ROW(orderHistory[customer]),ROW(orderHistory[customer])),""),ROWS($A$15:A27)+$B$3)),INDEX(orderHistory[order_no],SMALL(IF(ISNUMBER(MATCH(orderHistory[status],$D$11,0)*MATCH(orderHistory[order_type],$D$13,0)),MATCH(ROW(orderHistory[customer]),ROW(orderHistory[customer])),""),ROWS($A$15:A27)+$B$3)))),IF($D$11="",IF($D$13="",INDEX(orderHistory[order_no],SMALL(IF(ISNUMBER(MATCH(orderHistory[customer],$D$9,0)),MATCH(ROW(orderHistory[customer]),ROW(orderHistory[customer])),""),ROWS($A$15:A27)+$B$3)),INDEX(orderHistory[order_no],SMALL(IF(ISNUMBER(MATCH(orderHistory[customer],$D$9,0)*MATCH(orderHistory[order_type],$D$13,0)),MATCH(ROW(orderHistory[customer]),ROW(orderHistory[customer])),""),ROWS($A$15:A27)+$B$3))),IF($D$13="",INDEX(orderHistory[order_no],SMALL(IF(ISNUMBER(MATCH(orderHistory[customer],$D$9,0)*MATCH(orderHistory[status],$D$11,0)),MATCH(ROW(orderHistory[customer]),ROW(orderHistory[customer])),""),ROWS($A$15:A27)+$B$3)),INDEX(orderHistory[order_no],SMALL(IF(ISNUMBER(MATCH(orderHistory[customer],$D$9,0)*MATCH(orderHistory[status],$D$11,0)*MATCH(orderHistory[order_type],$D$13,0)),MATCH(ROW(orderHistory[customer]),ROW(orderHistory[customer])),""),ROWS($A$15:A27)+$B$3))))),"")</f>
        <v>10</v>
      </c>
      <c r="N22" s="386" t="str">
        <f t="array" ref="N22">IFERROR(IF($D$9="",IF($D$11="",IF($D$13="",INDEX(orderHistory[order_type],SMALL(MATCH(ROW(orderHistory[customer]),ROW(orderHistory[customer])),ROWS($A$15:A27)+$B$3)),INDEX(orderHistory[order_type],SMALL(IF(ISNUMBER(MATCH(orderHistory[order_type],$D$13,0)),MATCH(ROW(orderHistory[customer]),ROW(orderHistory[customer])),""),ROWS($A$15:A27)+$B$3))),IF($D$13="",INDEX(orderHistory[order_type],SMALL(IF(ISNUMBER(MATCH(orderHistory[status],$D$11,0)),MATCH(ROW(orderHistory[customer]),ROW(orderHistory[customer])),""),ROWS($A$15:A27)+$B$3)),INDEX(orderHistory[order_type],SMALL(IF(ISNUMBER(MATCH(orderHistory[status],$D$11,0)*MATCH(orderHistory[order_type],$D$13,0)),MATCH(ROW(orderHistory[customer]),ROW(orderHistory[customer])),""),ROWS($A$15:A27)+$B$3)))),IF($D$11="",IF($D$13="",INDEX(orderHistory[order_type],SMALL(IF(ISNUMBER(MATCH(orderHistory[customer],$D$9,0)),MATCH(ROW(orderHistory[customer]),ROW(orderHistory[customer])),""),ROWS($A$15:A27)+$B$3)),INDEX(orderHistory[order_type],SMALL(IF(ISNUMBER(MATCH(orderHistory[customer],$D$9,0)*MATCH(orderHistory[order_type],$D$13,0)),MATCH(ROW(orderHistory[customer]),ROW(orderHistory[customer])),""),ROWS($A$15:A27)+$B$3))),IF($D$13="",INDEX(orderHistory[order_type],SMALL(IF(ISNUMBER(MATCH(orderHistory[customer],$D$9,0)*MATCH(orderHistory[status],$D$11,0)),MATCH(ROW(orderHistory[customer]),ROW(orderHistory[customer])),""),ROWS($A$15:A27)+$B$3)),INDEX(orderHistory[order_type],SMALL(IF(ISNUMBER(MATCH(orderHistory[customer],$D$9,0)*MATCH(orderHistory[status],$D$11,0)*MATCH(orderHistory[order_type],$D$13,0)),MATCH(ROW(orderHistory[customer]),ROW(orderHistory[customer])),""),ROWS($A$15:A27)+$B$3))))),"")</f>
        <v>SALE</v>
      </c>
      <c r="O22" s="275">
        <f t="array" ref="O22">IFERROR(IF($D$9="",IF($D$11="",IF($D$13="",INDEX(orderHistory[order_date],SMALL(MATCH(ROW(orderHistory[customer]),ROW(orderHistory[customer])),ROWS($A$15:A27)+$B$3)),INDEX(orderHistory[order_date],SMALL(IF(ISNUMBER(MATCH(orderHistory[order_type],$D$13,0)),MATCH(ROW(orderHistory[customer]),ROW(orderHistory[customer])),""),ROWS($A$15:A27)+$B$3))),IF($D$13="",INDEX(orderHistory[order_date],SMALL(IF(ISNUMBER(MATCH(orderHistory[status],$D$11,0)),MATCH(ROW(orderHistory[customer]),ROW(orderHistory[customer])),""),ROWS($A$15:A27)+$B$3)),INDEX(orderHistory[order_date],SMALL(IF(ISNUMBER(MATCH(orderHistory[status],$D$11,0)*MATCH(orderHistory[order_type],$D$13,0)),MATCH(ROW(orderHistory[customer]),ROW(orderHistory[customer])),""),ROWS($A$15:A27)+$B$3)))),IF($D$11="",IF($D$13="",INDEX(orderHistory[order_date],SMALL(IF(ISNUMBER(MATCH(orderHistory[customer],$D$9,0)),MATCH(ROW(orderHistory[customer]),ROW(orderHistory[customer])),""),ROWS($A$15:A27)+$B$3)),INDEX(orderHistory[order_date],SMALL(IF(ISNUMBER(MATCH(orderHistory[customer],$D$9,0)*MATCH(orderHistory[order_type],$D$13,0)),MATCH(ROW(orderHistory[customer]),ROW(orderHistory[customer])),""),ROWS($A$15:A27)+$B$3))),IF($D$13="",INDEX(orderHistory[order_date],SMALL(IF(ISNUMBER(MATCH(orderHistory[customer],$D$9,0)*MATCH(orderHistory[status],$D$11,0)),MATCH(ROW(orderHistory[customer]),ROW(orderHistory[customer])),""),ROWS($A$15:A27)+$B$3)),INDEX(orderHistory[order_date],SMALL(IF(ISNUMBER(MATCH(orderHistory[customer],$D$9,0)*MATCH(orderHistory[status],$D$11,0)*MATCH(orderHistory[order_type],$D$13,0)),MATCH(ROW(orderHistory[customer]),ROW(orderHistory[customer])),""),ROWS($A$15:A27)+$B$3))))),"")</f>
        <v>45299</v>
      </c>
      <c r="P22" s="379">
        <f t="array" ref="P22">IF(IFERROR(IF($D$9="",IF($D$11="",IF($D$13="",INDEX(orderHistory[invoice_no],SMALL(MATCH(ROW(orderHistory[customer]),ROW(orderHistory[customer])),ROWS($A$15:A27)+$B$3)),INDEX(orderHistory[invoice_no],SMALL(IF(ISNUMBER(MATCH(orderHistory[order_type],$D$13,0)),MATCH(ROW(orderHistory[customer]),ROW(orderHistory[customer])),""),ROWS($A$15:A27)+$B$3))),IF($D$13="",INDEX(orderHistory[invoice_no],SMALL(IF(ISNUMBER(MATCH(orderHistory[status],$D$11,0)),MATCH(ROW(orderHistory[customer]),ROW(orderHistory[customer])),""),ROWS($A$15:A27)+$B$3)),INDEX(orderHistory[invoice_no],SMALL(IF(ISNUMBER(MATCH(orderHistory[status],$D$11,0)*MATCH(orderHistory[order_type],$D$13,0)),MATCH(ROW(orderHistory[customer]),ROW(orderHistory[customer])),""),ROWS($A$15:A27)+$B$3)))),IF($D$11="",IF($D$13="",INDEX(orderHistory[invoice_no],SMALL(IF(ISNUMBER(MATCH(orderHistory[customer],$D$9,0)),MATCH(ROW(orderHistory[customer]),ROW(orderHistory[customer])),""),ROWS($A$15:A27)+$B$3)),INDEX(orderHistory[invoice_no],SMALL(IF(ISNUMBER(MATCH(orderHistory[customer],$D$9,0)*MATCH(orderHistory[order_type],$D$13,0)),MATCH(ROW(orderHistory[customer]),ROW(orderHistory[customer])),""),ROWS($A$15:A27)+$B$3))),IF($D$13="",INDEX(orderHistory[invoice_no],SMALL(IF(ISNUMBER(MATCH(orderHistory[customer],$D$9,0)*MATCH(orderHistory[status],$D$11,0)),MATCH(ROW(orderHistory[customer]),ROW(orderHistory[customer])),""),ROWS($A$15:A27)+$B$3)),INDEX(orderHistory[invoice_no],SMALL(IF(ISNUMBER(MATCH(orderHistory[customer],$D$9,0)*MATCH(orderHistory[status],$D$11,0)*MATCH(orderHistory[order_type],$D$13,0)),MATCH(ROW(orderHistory[customer]),ROW(orderHistory[customer])),""),ROWS($A$15:A27)+$B$3))))),"")=0,"",IFERROR(IF($D$9="",IF($D$11="",IF($D$13="",INDEX(orderHistory[invoice_no],SMALL(MATCH(ROW(orderHistory[customer]),ROW(orderHistory[customer])),ROWS($A$15:A27)+$B$3)),INDEX(orderHistory[invoice_no],SMALL(IF(ISNUMBER(MATCH(orderHistory[order_type],$D$13,0)),MATCH(ROW(orderHistory[customer]),ROW(orderHistory[customer])),""),ROWS($A$15:A27)+$B$3))),IF($D$13="",INDEX(orderHistory[invoice_no],SMALL(IF(ISNUMBER(MATCH(orderHistory[status],$D$11,0)),MATCH(ROW(orderHistory[customer]),ROW(orderHistory[customer])),""),ROWS($A$15:A27)+$B$3)),INDEX(orderHistory[invoice_no],SMALL(IF(ISNUMBER(MATCH(orderHistory[status],$D$11,0)*MATCH(orderHistory[order_type],$D$13,0)),MATCH(ROW(orderHistory[customer]),ROW(orderHistory[customer])),""),ROWS($A$15:A27)+$B$3)))),IF($D$11="",IF($D$13="",INDEX(orderHistory[invoice_no],SMALL(IF(ISNUMBER(MATCH(orderHistory[customer],$D$9,0)),MATCH(ROW(orderHistory[customer]),ROW(orderHistory[customer])),""),ROWS($A$15:A27)+$B$3)),INDEX(orderHistory[invoice_no],SMALL(IF(ISNUMBER(MATCH(orderHistory[customer],$D$9,0)*MATCH(orderHistory[order_type],$D$13,0)),MATCH(ROW(orderHistory[customer]),ROW(orderHistory[customer])),""),ROWS($A$15:A27)+$B$3))),IF($D$13="",INDEX(orderHistory[invoice_no],SMALL(IF(ISNUMBER(MATCH(orderHistory[customer],$D$9,0)*MATCH(orderHistory[status],$D$11,0)),MATCH(ROW(orderHistory[customer]),ROW(orderHistory[customer])),""),ROWS($A$15:A27)+$B$3)),INDEX(orderHistory[invoice_no],SMALL(IF(ISNUMBER(MATCH(orderHistory[customer],$D$9,0)*MATCH(orderHistory[status],$D$11,0)*MATCH(orderHistory[order_type],$D$13,0)),MATCH(ROW(orderHistory[customer]),ROW(orderHistory[customer])),""),ROWS($A$15:A27)+$B$3))))),""))</f>
        <v>56</v>
      </c>
      <c r="Q22" s="381">
        <f t="array" ref="Q22">IF(IFERROR(IF($D$9="",IF($D$11="",IF($D$13="",INDEX(orderHistory[invoice_date],SMALL(MATCH(ROW(orderHistory[customer]),ROW(orderHistory[customer])),ROWS($A$15:A27)+$B$3)),INDEX(orderHistory[invoice_date],SMALL(IF(ISNUMBER(MATCH(orderHistory[order_type],$D$13,0)),MATCH(ROW(orderHistory[customer]),ROW(orderHistory[customer])),""),ROWS($A$15:A27)+$B$3))),IF($D$13="",INDEX(orderHistory[invoice_date],SMALL(IF(ISNUMBER(MATCH(orderHistory[status],$D$11,0)),MATCH(ROW(orderHistory[customer]),ROW(orderHistory[customer])),""),ROWS($A$15:A27)+$B$3)),INDEX(orderHistory[invoice_date],SMALL(IF(ISNUMBER(MATCH(orderHistory[status],$D$11,0)*MATCH(orderHistory[order_type],$D$13,0)),MATCH(ROW(orderHistory[customer]),ROW(orderHistory[customer])),""),ROWS($A$15:A27)+$B$3)))),IF($D$11="",IF($D$13="",INDEX(orderHistory[invoice_date],SMALL(IF(ISNUMBER(MATCH(orderHistory[customer],$D$9,0)),MATCH(ROW(orderHistory[customer]),ROW(orderHistory[customer])),""),ROWS($A$15:A27)+$B$3)),INDEX(orderHistory[invoice_date],SMALL(IF(ISNUMBER(MATCH(orderHistory[customer],$D$9,0)*MATCH(orderHistory[order_type],$D$13,0)),MATCH(ROW(orderHistory[customer]),ROW(orderHistory[customer])),""),ROWS($A$15:A27)+$B$3))),IF($D$13="",INDEX(orderHistory[invoice_date],SMALL(IF(ISNUMBER(MATCH(orderHistory[customer],$D$9,0)*MATCH(orderHistory[status],$D$11,0)),MATCH(ROW(orderHistory[customer]),ROW(orderHistory[customer])),""),ROWS($A$15:A27)+$B$3)),INDEX(orderHistory[invoice_date],SMALL(IF(ISNUMBER(MATCH(orderHistory[customer],$D$9,0)*MATCH(orderHistory[status],$D$11,0)*MATCH(orderHistory[order_type],$D$13,0)),MATCH(ROW(orderHistory[customer]),ROW(orderHistory[customer])),""),ROWS($A$15:A27)+$B$3))))),"")=0,"",IFERROR(IF($D$9="",IF($D$11="",IF($D$13="",INDEX(orderHistory[invoice_date],SMALL(MATCH(ROW(orderHistory[customer]),ROW(orderHistory[customer])),ROWS($A$15:A27)+$B$3)),INDEX(orderHistory[invoice_date],SMALL(IF(ISNUMBER(MATCH(orderHistory[order_type],$D$13,0)),MATCH(ROW(orderHistory[customer]),ROW(orderHistory[customer])),""),ROWS($A$15:A27)+$B$3))),IF($D$13="",INDEX(orderHistory[invoice_date],SMALL(IF(ISNUMBER(MATCH(orderHistory[status],$D$11,0)),MATCH(ROW(orderHistory[customer]),ROW(orderHistory[customer])),""),ROWS($A$15:A27)+$B$3)),INDEX(orderHistory[invoice_date],SMALL(IF(ISNUMBER(MATCH(orderHistory[status],$D$11,0)*MATCH(orderHistory[order_type],$D$13,0)),MATCH(ROW(orderHistory[customer]),ROW(orderHistory[customer])),""),ROWS($A$15:A27)+$B$3)))),IF($D$11="",IF($D$13="",INDEX(orderHistory[invoice_date],SMALL(IF(ISNUMBER(MATCH(orderHistory[customer],$D$9,0)),MATCH(ROW(orderHistory[customer]),ROW(orderHistory[customer])),""),ROWS($A$15:A27)+$B$3)),INDEX(orderHistory[invoice_date],SMALL(IF(ISNUMBER(MATCH(orderHistory[customer],$D$9,0)*MATCH(orderHistory[order_type],$D$13,0)),MATCH(ROW(orderHistory[customer]),ROW(orderHistory[customer])),""),ROWS($A$15:A27)+$B$3))),IF($D$13="",INDEX(orderHistory[invoice_date],SMALL(IF(ISNUMBER(MATCH(orderHistory[customer],$D$9,0)*MATCH(orderHistory[status],$D$11,0)),MATCH(ROW(orderHistory[customer]),ROW(orderHistory[customer])),""),ROWS($A$15:A27)+$B$3)),INDEX(orderHistory[invoice_date],SMALL(IF(ISNUMBER(MATCH(orderHistory[customer],$D$9,0)*MATCH(orderHistory[status],$D$11,0)*MATCH(orderHistory[order_type],$D$13,0)),MATCH(ROW(orderHistory[customer]),ROW(orderHistory[customer])),""),ROWS($A$15:A27)+$B$3))))),""))</f>
        <v>45349</v>
      </c>
      <c r="R22" s="377">
        <f t="array" ref="R22">IFERROR(IF($D$9="",IF($D$11="",IF($D$13="",INDEX(orderHistory[inv_amount],SMALL(MATCH(ROW(orderHistory[customer]),ROW(orderHistory[customer])),ROWS($A$15:A27)+$B$3)),INDEX(orderHistory[inv_amount],SMALL(IF(ISNUMBER(MATCH(orderHistory[order_type],$D$13,0)),MATCH(ROW(orderHistory[customer]),ROW(orderHistory[customer])),""),ROWS($A$15:A27)+$B$3))),IF($D$13="",INDEX(orderHistory[inv_amount],SMALL(IF(ISNUMBER(MATCH(orderHistory[status],$D$11,0)),MATCH(ROW(orderHistory[customer]),ROW(orderHistory[customer])),""),ROWS($A$15:A27)+$B$3)),INDEX(orderHistory[inv_amount],SMALL(IF(ISNUMBER(MATCH(orderHistory[status],$D$11,0)*MATCH(orderHistory[order_type],$D$13,0)),MATCH(ROW(orderHistory[customer]),ROW(orderHistory[customer])),""),ROWS($A$15:A27)+$B$3)))),IF($D$11="",IF($D$13="",INDEX(orderHistory[inv_amount],SMALL(IF(ISNUMBER(MATCH(orderHistory[customer],$D$9,0)),MATCH(ROW(orderHistory[customer]),ROW(orderHistory[customer])),""),ROWS($A$15:A27)+$B$3)),INDEX(orderHistory[inv_amount],SMALL(IF(ISNUMBER(MATCH(orderHistory[customer],$D$9,0)*MATCH(orderHistory[order_type],$D$13,0)),MATCH(ROW(orderHistory[customer]),ROW(orderHistory[customer])),""),ROWS($A$15:A27)+$B$3))),IF($D$13="",INDEX(orderHistory[inv_amount],SMALL(IF(ISNUMBER(MATCH(orderHistory[customer],$D$9,0)*MATCH(orderHistory[status],$D$11,0)),MATCH(ROW(orderHistory[customer]),ROW(orderHistory[customer])),""),ROWS($A$15:A27)+$B$3)),INDEX(orderHistory[inv_amount],SMALL(IF(ISNUMBER(MATCH(orderHistory[customer],$D$9,0)*MATCH(orderHistory[status],$D$11,0)*MATCH(orderHistory[order_type],$D$13,0)),MATCH(ROW(orderHistory[customer]),ROW(orderHistory[customer])),""),ROWS($A$15:A27)+$B$3))))),"")</f>
        <v>5252.8</v>
      </c>
      <c r="S22" s="383">
        <f t="shared" si="0"/>
        <v>367.69600000000003</v>
      </c>
      <c r="T22" s="385" t="b">
        <f t="array" ref="T22">IFERROR(IF($D$9="",IF($D$11="",IF($D$13="",INDEX(orderHistory[payed],SMALL(MATCH(ROW(orderHistory[customer]),ROW(orderHistory[customer])),ROWS($A$15:A27)+$B$3)),INDEX(orderHistory[payed],SMALL(IF(ISNUMBER(MATCH(orderHistory[order_type],$D$13,0)),MATCH(ROW(orderHistory[customer]),ROW(orderHistory[customer])),""),ROWS($A$15:A27)+$B$3))),IF($D$13="",INDEX(orderHistory[payed],SMALL(IF(ISNUMBER(MATCH(orderHistory[status],$D$11,0)),MATCH(ROW(orderHistory[customer]),ROW(orderHistory[customer])),""),ROWS($A$15:A27)+$B$3)),INDEX(orderHistory[payed],SMALL(IF(ISNUMBER(MATCH(orderHistory[status],$D$11,0)*MATCH(orderHistory[order_type],$D$13,0)),MATCH(ROW(orderHistory[customer]),ROW(orderHistory[customer])),""),ROWS($A$15:A27)+$B$3)))),IF($D$11="",IF($D$13="",INDEX(orderHistory[payed],SMALL(IF(ISNUMBER(MATCH(orderHistory[customer],$D$9,0)),MATCH(ROW(orderHistory[customer]),ROW(orderHistory[customer])),""),ROWS($A$15:A27)+$B$3)),INDEX(orderHistory[payed],SMALL(IF(ISNUMBER(MATCH(orderHistory[customer],$D$9,0)*MATCH(orderHistory[order_type],$D$13,0)),MATCH(ROW(orderHistory[customer]),ROW(orderHistory[customer])),""),ROWS($A$15:A27)+$B$3))),IF($D$13="",INDEX(orderHistory[payed],SMALL(IF(ISNUMBER(MATCH(orderHistory[customer],$D$9,0)*MATCH(orderHistory[status],$D$11,0)),MATCH(ROW(orderHistory[customer]),ROW(orderHistory[customer])),""),ROWS($A$15:A27)+$B$3)),INDEX(orderHistory[payed],SMALL(IF(ISNUMBER(MATCH(orderHistory[customer],$D$9,0)*MATCH(orderHistory[status],$D$11,0)*MATCH(orderHistory[order_type],$D$13,0)),MATCH(ROW(orderHistory[customer]),ROW(orderHistory[customer])),""),ROWS($A$15:A27)+$B$3))))),"")</f>
        <v>1</v>
      </c>
      <c r="U22" s="386" t="str">
        <f t="array" ref="U22">IFERROR(IF($D$9="",IF($D$11="",IF($D$13="",INDEX(orderHistory[shipping_method],SMALL(MATCH(ROW(orderHistory[customer]),ROW(orderHistory[customer])),ROWS($A$15:A27)+$B$3)),INDEX(orderHistory[shipping_method],SMALL(IF(ISNUMBER(MATCH(orderHistory[order_type],$D$13,0)),MATCH(ROW(orderHistory[customer]),ROW(orderHistory[customer])),""),ROWS($A$15:A27)+$B$3))),IF($D$13="",INDEX(orderHistory[shipping_method],SMALL(IF(ISNUMBER(MATCH(orderHistory[status],$D$11,0)),MATCH(ROW(orderHistory[customer]),ROW(orderHistory[customer])),""),ROWS($A$15:A27)+$B$3)),INDEX(orderHistory[shipping_method],SMALL(IF(ISNUMBER(MATCH(orderHistory[status],$D$11,0)*MATCH(orderHistory[order_type],$D$13,0)),MATCH(ROW(orderHistory[customer]),ROW(orderHistory[customer])),""),ROWS($A$15:A27)+$B$3)))),IF($D$11="",IF($D$13="",INDEX(orderHistory[shipping_method],SMALL(IF(ISNUMBER(MATCH(orderHistory[customer],$D$9,0)),MATCH(ROW(orderHistory[customer]),ROW(orderHistory[customer])),""),ROWS($A$15:A27)+$B$3)),INDEX(orderHistory[shipping_method],SMALL(IF(ISNUMBER(MATCH(orderHistory[customer],$D$9,0)*MATCH(orderHistory[order_type],$D$13,0)),MATCH(ROW(orderHistory[customer]),ROW(orderHistory[customer])),""),ROWS($A$15:A27)+$B$3))),IF($D$13="",INDEX(orderHistory[shipping_method],SMALL(IF(ISNUMBER(MATCH(orderHistory[customer],$D$9,0)*MATCH(orderHistory[status],$D$11,0)),MATCH(ROW(orderHistory[customer]),ROW(orderHistory[customer])),""),ROWS($A$15:A27)+$B$3)),INDEX(orderHistory[shipping_method],SMALL(IF(ISNUMBER(MATCH(orderHistory[customer],$D$9,0)*MATCH(orderHistory[status],$D$11,0)*MATCH(orderHistory[order_type],$D$13,0)),MATCH(ROW(orderHistory[customer]),ROW(orderHistory[customer])),""),ROWS($A$15:A27)+$B$3))))),"")</f>
        <v>BY ROAD</v>
      </c>
      <c r="V22" s="387" t="str">
        <f t="array" ref="V22">IFERROR(IF($D$9="",IF($D$11="",IF($D$13="",INDEX(orderHistory[status],SMALL(MATCH(ROW(orderHistory[customer]),ROW(orderHistory[customer])),ROWS($A$15:A27)+$B$3)),INDEX(orderHistory[status],SMALL(IF(ISNUMBER(MATCH(orderHistory[order_type],$D$13,0)),MATCH(ROW(orderHistory[customer]),ROW(orderHistory[customer])),""),ROWS($A$15:A27)+$B$3))),IF($D$13="",INDEX(orderHistory[status],SMALL(IF(ISNUMBER(MATCH(orderHistory[status],$D$11,0)),MATCH(ROW(orderHistory[customer]),ROW(orderHistory[customer])),""),ROWS($A$15:A27)+$B$3)),INDEX(orderHistory[status],SMALL(IF(ISNUMBER(MATCH(orderHistory[status],$D$11,0)*MATCH(orderHistory[order_type],$D$13,0)),MATCH(ROW(orderHistory[customer]),ROW(orderHistory[customer])),""),ROWS($A$15:A27)+$B$3)))),IF($D$11="",IF($D$13="",INDEX(orderHistory[status],SMALL(IF(ISNUMBER(MATCH(orderHistory[customer],$D$9,0)),MATCH(ROW(orderHistory[customer]),ROW(orderHistory[customer])),""),ROWS($A$15:A27)+$B$3)),INDEX(orderHistory[status],SMALL(IF(ISNUMBER(MATCH(orderHistory[customer],$D$9,0)*MATCH(orderHistory[order_type],$D$13,0)),MATCH(ROW(orderHistory[customer]),ROW(orderHistory[customer])),""),ROWS($A$15:A27)+$B$3))),IF($D$13="",INDEX(orderHistory[status],SMALL(IF(ISNUMBER(MATCH(orderHistory[customer],$D$9,0)*MATCH(orderHistory[status],$D$11,0)),MATCH(ROW(orderHistory[customer]),ROW(orderHistory[customer])),""),ROWS($A$15:A27)+$B$3)),INDEX(orderHistory[status],SMALL(IF(ISNUMBER(MATCH(orderHistory[customer],$D$9,0)*MATCH(orderHistory[status],$D$11,0)*MATCH(orderHistory[order_type],$D$13,0)),MATCH(ROW(orderHistory[customer]),ROW(orderHistory[customer])),""),ROWS($A$15:A27)+$B$3))))),"")</f>
        <v>SHIPPED</v>
      </c>
      <c r="W22" s="111"/>
      <c r="AQ22" s="125"/>
      <c r="AR22" s="120"/>
      <c r="AS22" s="120"/>
      <c r="AT22" s="120"/>
      <c r="AU22" s="121"/>
      <c r="AW22" s="131"/>
      <c r="AX22" s="192">
        <f>$AZ$22*$BB$22</f>
        <v>0</v>
      </c>
      <c r="AY22" s="120"/>
      <c r="AZ22" s="407">
        <v>0</v>
      </c>
      <c r="BA22" s="120"/>
      <c r="BB22" s="406">
        <v>0</v>
      </c>
      <c r="BC22" s="120"/>
      <c r="BD22" s="904"/>
      <c r="BE22" s="905"/>
      <c r="BF22" s="905"/>
      <c r="BG22" s="905"/>
      <c r="BH22" s="906"/>
      <c r="BI22" s="291"/>
      <c r="BJ22" s="121"/>
      <c r="BK22" s="146"/>
      <c r="BL22" s="147"/>
      <c r="BM22" s="148"/>
      <c r="BN22" s="147"/>
      <c r="BO22" s="148"/>
      <c r="BZ22" s="304"/>
      <c r="CA22" s="270" t="str">
        <f>IF(BZ22="","",VLOOKUP(BZ22,bhpc_data[],7,FALSE))</f>
        <v/>
      </c>
      <c r="CB22" s="296"/>
      <c r="CC22" s="642"/>
      <c r="CD22" s="544"/>
      <c r="CE22" s="645"/>
      <c r="CF22" s="298"/>
      <c r="CG22" s="301" t="str">
        <f>IFERROR(ROUNDUP(CB22/VLOOKUP(BZ22,bhpc_data[],9,FALSE),0)+ROUNDUP(CD22/VLOOKUP(BZ22,bhpc_data[],9,FALSE),0),"")</f>
        <v/>
      </c>
      <c r="CH22" s="302" t="str">
        <f>IFERROR(ROUNDUP(CD22/VLOOKUP(BZ22,bhpc_data[],9,FALSE),0),"")</f>
        <v/>
      </c>
      <c r="CI22" s="302" t="str">
        <f>IFERROR(ROUNDUP(CF22/VLOOKUP(BZ22,bhpc_data[],9,FALSE),0),"")</f>
        <v/>
      </c>
      <c r="CJ22" s="302" t="str">
        <f>IFERROR(((CB22+CD22+CF22)/VLOOKUP(BZ22,bhpc_data[],9,FALSE))*VLOOKUP(BZ22,bhpc_data[],17,FALSE),"")</f>
        <v/>
      </c>
      <c r="CK22" s="302" t="str">
        <f>IFERROR(((CB22+CD22+CF22)/VLOOKUP(BZ22,bhpc_data[],9,FALSE))*VLOOKUP(BZ22,bhpc_data[],18,FALSE),"")</f>
        <v/>
      </c>
      <c r="CL22" s="346" t="str">
        <f>IFERROR((CB22+CD22)/VLOOKUP(BZ22,bhpc_data[],9,FALSE)*VLOOKUP(BZ22,bhpc_data[],14,FALSE)*VLOOKUP(BZ22,bhpc_data[],15,FALSE)*VLOOKUP(BZ22,bhpc_data[],16,FALSE)/1000000000,"")</f>
        <v/>
      </c>
      <c r="CM22" s="409" t="str">
        <f>IFERROR(VLOOKUP(BZ22,bhpc_data[],2,FALSE),"")</f>
        <v/>
      </c>
      <c r="CN22" s="409" t="str">
        <f>IFERROR(VLOOKUP(BZ22,bhpc_data[],19,FALSE),"")</f>
        <v/>
      </c>
      <c r="CO22" s="653" t="str">
        <f>IFERROR(VLOOKUP(BZ22,bhpc_data[],6,FALSE),"")</f>
        <v/>
      </c>
      <c r="CP22" s="654" t="str">
        <f>IFERROR(VLOOKUP(BZ22,inventory[],4,FALSE),"")</f>
        <v/>
      </c>
      <c r="CQ22" s="651" t="str">
        <f>IFERROR(IF(BZ22="","",IF($BX$15="SALE",VLOOKUP(BZ22,inventory[],5,FALSE),IF($BX$15="SAMPLING",VLOOKUP(BZ22,inventory[],5,FALSE),""))),"")</f>
        <v/>
      </c>
      <c r="CR22" s="652" t="str">
        <f>IFERROR(IF(BZ22="","",(CB22+CD22+CF22)*CQ22),"")</f>
        <v/>
      </c>
      <c r="CS22" s="557" t="str">
        <f>IF(BZ22="","",CB22*CC22+CD22*CE22)</f>
        <v/>
      </c>
      <c r="CU22" s="125"/>
      <c r="CV22" s="134" t="s">
        <v>715</v>
      </c>
      <c r="CW22" s="620">
        <f>SUM($CG$10:$CI$109)</f>
        <v>30</v>
      </c>
      <c r="CX22" s="134"/>
      <c r="CY22" s="120"/>
      <c r="CZ22" s="121"/>
      <c r="DA22" s="540" t="str">
        <f>IFERROR(VLOOKUP(BZ22,bhpc_data[],22,FALSE),"")</f>
        <v/>
      </c>
      <c r="DF22" s="206" t="s">
        <v>716</v>
      </c>
      <c r="EE22" s="453" t="s">
        <v>65</v>
      </c>
      <c r="EF22" s="447" t="str">
        <f>VLOOKUP(EE22,bhpc_data[],7,FALSE)</f>
        <v>BHPC GIFT SET WOMEN #1 EDP50ML+DEO150ML+ROLLON50ML</v>
      </c>
      <c r="EG22" s="555">
        <f>IFERROR(VLOOKUP(EE22,inventory[],4,FALSE),0)</f>
        <v>11</v>
      </c>
      <c r="EH22" s="555">
        <f>IFERROR(VLOOKUP(warehouse[[#This Row],[SKU]],$EQ$10:$ES$38,3,FALSE),0)</f>
        <v>0</v>
      </c>
      <c r="EI22" s="555">
        <f>IFERROR(VLOOKUP(warehouse[[#This Row],[SKU]],$EM$10:$EO$61,3,FALSE),0)</f>
        <v>1</v>
      </c>
      <c r="EJ22" s="555">
        <f>warehouse[[#This Row],[T-1]]+warehouse[[#This Row],[SUPPLY]]-warehouse[[#This Row],[SALE + SAMPLING]]</f>
        <v>10</v>
      </c>
      <c r="EM22" s="74" t="s">
        <v>100</v>
      </c>
      <c r="EN22" s="74" t="s">
        <v>101</v>
      </c>
      <c r="EO22" s="431">
        <v>46</v>
      </c>
      <c r="EQ22" s="74" t="s">
        <v>132</v>
      </c>
      <c r="ER22" s="74" t="s">
        <v>843</v>
      </c>
      <c r="ES22" s="446">
        <v>2972</v>
      </c>
    </row>
    <row r="23" spans="1:149" ht="15" customHeight="1" thickBot="1">
      <c r="D23" s="684">
        <f>IF(VLOOKUP($B$4,orderHistory[],18,FALSE)&lt;&gt;"PREPARING",VLOOKUP($B$4,orderHistory[],42,FALSE),"")</f>
        <v>0</v>
      </c>
      <c r="F23" s="154"/>
      <c r="G23" s="929" t="str">
        <f>IFERROR(INDEX(clientData[hq_address2],MATCH($B$6,clientData[cod_cliente],0)),"")</f>
        <v>P.I. "CIUTAT DE CARLET"</v>
      </c>
      <c r="H23" s="930"/>
      <c r="I23" s="931"/>
      <c r="J23" s="121"/>
      <c r="L23" s="274" t="str">
        <f t="array" ref="L23">IFERROR(IF($D$9="",IF($D$11="",IF($D$13="",INDEX(orderHistory[customer],SMALL(MATCH(ROW(orderHistory[customer]),ROW(orderHistory[customer])),ROWS($A$15:A28)+$B$3)),INDEX(orderHistory[customer],SMALL(IF(ISNUMBER(MATCH(orderHistory[order_type],$D$13,0)),MATCH(ROW(orderHistory[customer]),ROW(orderHistory[customer])),""),ROWS($A$15:A28)+$B$3))),IF($D$13="",INDEX(orderHistory[customer],SMALL(IF(ISNUMBER(MATCH(orderHistory[status],$D$11,0)),MATCH(ROW(orderHistory[customer]),ROW(orderHistory[customer])),""),ROWS($A$15:A28)+$B$3)),INDEX(orderHistory[customer],SMALL(IF(ISNUMBER(MATCH(orderHistory[status],$D$11,0)*MATCH(orderHistory[order_type],$D$13,0)),MATCH(ROW(orderHistory[customer]),ROW(orderHistory[customer])),""),ROWS($A$15:A28)+$B$3)))),IF($D$11="",IF($D$13="",INDEX(orderHistory[customer],SMALL(IF(ISNUMBER(MATCH(orderHistory[customer],$D$9,0)),MATCH(ROW(orderHistory[customer]),ROW(orderHistory[customer])),""),ROWS($A$15:A28)+$B$3)),INDEX(orderHistory[customer],SMALL(IF(ISNUMBER(MATCH(orderHistory[customer],$D$9,0)*MATCH(orderHistory[order_type],$D$13,0)),MATCH(ROW(orderHistory[customer]),ROW(orderHistory[customer])),""),ROWS($A$15:A28)+$B$3))),IF($D$13="",INDEX(orderHistory[customer],SMALL(IF(ISNUMBER(MATCH(orderHistory[customer],$D$9,0)*MATCH(orderHistory[status],$D$11,0)),MATCH(ROW(orderHistory[customer]),ROW(orderHistory[customer])),""),ROWS($A$15:A28)+$B$3)),INDEX(orderHistory[customer],SMALL(IF(ISNUMBER(MATCH(orderHistory[customer],$D$9,0)*MATCH(orderHistory[status],$D$11,0)*MATCH(orderHistory[order_type],$D$13,0)),MATCH(ROW(orderHistory[customer]),ROW(orderHistory[customer])),""),ROWS($A$15:A28)+$B$3))))),"")</f>
        <v>GILMUR COMPANY</v>
      </c>
      <c r="M23" s="391">
        <f t="array" ref="M23">IFERROR(IF($D$9="",IF($D$11="",IF($D$13="",INDEX(orderHistory[order_no],SMALL(MATCH(ROW(orderHistory[customer]),ROW(orderHistory[customer])),ROWS($A$15:A28)+$B$3)),INDEX(orderHistory[order_no],SMALL(IF(ISNUMBER(MATCH(orderHistory[order_type],$D$13,0)),MATCH(ROW(orderHistory[customer]),ROW(orderHistory[customer])),""),ROWS($A$15:A28)+$B$3))),IF($D$13="",INDEX(orderHistory[order_no],SMALL(IF(ISNUMBER(MATCH(orderHistory[status],$D$11,0)),MATCH(ROW(orderHistory[customer]),ROW(orderHistory[customer])),""),ROWS($A$15:A28)+$B$3)),INDEX(orderHistory[order_no],SMALL(IF(ISNUMBER(MATCH(orderHistory[status],$D$11,0)*MATCH(orderHistory[order_type],$D$13,0)),MATCH(ROW(orderHistory[customer]),ROW(orderHistory[customer])),""),ROWS($A$15:A28)+$B$3)))),IF($D$11="",IF($D$13="",INDEX(orderHistory[order_no],SMALL(IF(ISNUMBER(MATCH(orderHistory[customer],$D$9,0)),MATCH(ROW(orderHistory[customer]),ROW(orderHistory[customer])),""),ROWS($A$15:A28)+$B$3)),INDEX(orderHistory[order_no],SMALL(IF(ISNUMBER(MATCH(orderHistory[customer],$D$9,0)*MATCH(orderHistory[order_type],$D$13,0)),MATCH(ROW(orderHistory[customer]),ROW(orderHistory[customer])),""),ROWS($A$15:A28)+$B$3))),IF($D$13="",INDEX(orderHistory[order_no],SMALL(IF(ISNUMBER(MATCH(orderHistory[customer],$D$9,0)*MATCH(orderHistory[status],$D$11,0)),MATCH(ROW(orderHistory[customer]),ROW(orderHistory[customer])),""),ROWS($A$15:A28)+$B$3)),INDEX(orderHistory[order_no],SMALL(IF(ISNUMBER(MATCH(orderHistory[customer],$D$9,0)*MATCH(orderHistory[status],$D$11,0)*MATCH(orderHistory[order_type],$D$13,0)),MATCH(ROW(orderHistory[customer]),ROW(orderHistory[customer])),""),ROWS($A$15:A28)+$B$3))))),"")</f>
        <v>9</v>
      </c>
      <c r="N23" s="386" t="str">
        <f t="array" ref="N23">IFERROR(IF($D$9="",IF($D$11="",IF($D$13="",INDEX(orderHistory[order_type],SMALL(MATCH(ROW(orderHistory[customer]),ROW(orderHistory[customer])),ROWS($A$15:A28)+$B$3)),INDEX(orderHistory[order_type],SMALL(IF(ISNUMBER(MATCH(orderHistory[order_type],$D$13,0)),MATCH(ROW(orderHistory[customer]),ROW(orderHistory[customer])),""),ROWS($A$15:A28)+$B$3))),IF($D$13="",INDEX(orderHistory[order_type],SMALL(IF(ISNUMBER(MATCH(orderHistory[status],$D$11,0)),MATCH(ROW(orderHistory[customer]),ROW(orderHistory[customer])),""),ROWS($A$15:A28)+$B$3)),INDEX(orderHistory[order_type],SMALL(IF(ISNUMBER(MATCH(orderHistory[status],$D$11,0)*MATCH(orderHistory[order_type],$D$13,0)),MATCH(ROW(orderHistory[customer]),ROW(orderHistory[customer])),""),ROWS($A$15:A28)+$B$3)))),IF($D$11="",IF($D$13="",INDEX(orderHistory[order_type],SMALL(IF(ISNUMBER(MATCH(orderHistory[customer],$D$9,0)),MATCH(ROW(orderHistory[customer]),ROW(orderHistory[customer])),""),ROWS($A$15:A28)+$B$3)),INDEX(orderHistory[order_type],SMALL(IF(ISNUMBER(MATCH(orderHistory[customer],$D$9,0)*MATCH(orderHistory[order_type],$D$13,0)),MATCH(ROW(orderHistory[customer]),ROW(orderHistory[customer])),""),ROWS($A$15:A28)+$B$3))),IF($D$13="",INDEX(orderHistory[order_type],SMALL(IF(ISNUMBER(MATCH(orderHistory[customer],$D$9,0)*MATCH(orderHistory[status],$D$11,0)),MATCH(ROW(orderHistory[customer]),ROW(orderHistory[customer])),""),ROWS($A$15:A28)+$B$3)),INDEX(orderHistory[order_type],SMALL(IF(ISNUMBER(MATCH(orderHistory[customer],$D$9,0)*MATCH(orderHistory[status],$D$11,0)*MATCH(orderHistory[order_type],$D$13,0)),MATCH(ROW(orderHistory[customer]),ROW(orderHistory[customer])),""),ROWS($A$15:A28)+$B$3))))),"")</f>
        <v>SALE</v>
      </c>
      <c r="O23" s="275">
        <f t="array" ref="O23">IFERROR(IF($D$9="",IF($D$11="",IF($D$13="",INDEX(orderHistory[order_date],SMALL(MATCH(ROW(orderHistory[customer]),ROW(orderHistory[customer])),ROWS($A$15:A28)+$B$3)),INDEX(orderHistory[order_date],SMALL(IF(ISNUMBER(MATCH(orderHistory[order_type],$D$13,0)),MATCH(ROW(orderHistory[customer]),ROW(orderHistory[customer])),""),ROWS($A$15:A28)+$B$3))),IF($D$13="",INDEX(orderHistory[order_date],SMALL(IF(ISNUMBER(MATCH(orderHistory[status],$D$11,0)),MATCH(ROW(orderHistory[customer]),ROW(orderHistory[customer])),""),ROWS($A$15:A28)+$B$3)),INDEX(orderHistory[order_date],SMALL(IF(ISNUMBER(MATCH(orderHistory[status],$D$11,0)*MATCH(orderHistory[order_type],$D$13,0)),MATCH(ROW(orderHistory[customer]),ROW(orderHistory[customer])),""),ROWS($A$15:A28)+$B$3)))),IF($D$11="",IF($D$13="",INDEX(orderHistory[order_date],SMALL(IF(ISNUMBER(MATCH(orderHistory[customer],$D$9,0)),MATCH(ROW(orderHistory[customer]),ROW(orderHistory[customer])),""),ROWS($A$15:A28)+$B$3)),INDEX(orderHistory[order_date],SMALL(IF(ISNUMBER(MATCH(orderHistory[customer],$D$9,0)*MATCH(orderHistory[order_type],$D$13,0)),MATCH(ROW(orderHistory[customer]),ROW(orderHistory[customer])),""),ROWS($A$15:A28)+$B$3))),IF($D$13="",INDEX(orderHistory[order_date],SMALL(IF(ISNUMBER(MATCH(orderHistory[customer],$D$9,0)*MATCH(orderHistory[status],$D$11,0)),MATCH(ROW(orderHistory[customer]),ROW(orderHistory[customer])),""),ROWS($A$15:A28)+$B$3)),INDEX(orderHistory[order_date],SMALL(IF(ISNUMBER(MATCH(orderHistory[customer],$D$9,0)*MATCH(orderHistory[status],$D$11,0)*MATCH(orderHistory[order_type],$D$13,0)),MATCH(ROW(orderHistory[customer]),ROW(orderHistory[customer])),""),ROWS($A$15:A28)+$B$3))))),"")</f>
        <v>45328</v>
      </c>
      <c r="P23" s="379">
        <f t="array" ref="P23">IF(IFERROR(IF($D$9="",IF($D$11="",IF($D$13="",INDEX(orderHistory[invoice_no],SMALL(MATCH(ROW(orderHistory[customer]),ROW(orderHistory[customer])),ROWS($A$15:A28)+$B$3)),INDEX(orderHistory[invoice_no],SMALL(IF(ISNUMBER(MATCH(orderHistory[order_type],$D$13,0)),MATCH(ROW(orderHistory[customer]),ROW(orderHistory[customer])),""),ROWS($A$15:A28)+$B$3))),IF($D$13="",INDEX(orderHistory[invoice_no],SMALL(IF(ISNUMBER(MATCH(orderHistory[status],$D$11,0)),MATCH(ROW(orderHistory[customer]),ROW(orderHistory[customer])),""),ROWS($A$15:A28)+$B$3)),INDEX(orderHistory[invoice_no],SMALL(IF(ISNUMBER(MATCH(orderHistory[status],$D$11,0)*MATCH(orderHistory[order_type],$D$13,0)),MATCH(ROW(orderHistory[customer]),ROW(orderHistory[customer])),""),ROWS($A$15:A28)+$B$3)))),IF($D$11="",IF($D$13="",INDEX(orderHistory[invoice_no],SMALL(IF(ISNUMBER(MATCH(orderHistory[customer],$D$9,0)),MATCH(ROW(orderHistory[customer]),ROW(orderHistory[customer])),""),ROWS($A$15:A28)+$B$3)),INDEX(orderHistory[invoice_no],SMALL(IF(ISNUMBER(MATCH(orderHistory[customer],$D$9,0)*MATCH(orderHistory[order_type],$D$13,0)),MATCH(ROW(orderHistory[customer]),ROW(orderHistory[customer])),""),ROWS($A$15:A28)+$B$3))),IF($D$13="",INDEX(orderHistory[invoice_no],SMALL(IF(ISNUMBER(MATCH(orderHistory[customer],$D$9,0)*MATCH(orderHistory[status],$D$11,0)),MATCH(ROW(orderHistory[customer]),ROW(orderHistory[customer])),""),ROWS($A$15:A28)+$B$3)),INDEX(orderHistory[invoice_no],SMALL(IF(ISNUMBER(MATCH(orderHistory[customer],$D$9,0)*MATCH(orderHistory[status],$D$11,0)*MATCH(orderHistory[order_type],$D$13,0)),MATCH(ROW(orderHistory[customer]),ROW(orderHistory[customer])),""),ROWS($A$15:A28)+$B$3))))),"")=0,"",IFERROR(IF($D$9="",IF($D$11="",IF($D$13="",INDEX(orderHistory[invoice_no],SMALL(MATCH(ROW(orderHistory[customer]),ROW(orderHistory[customer])),ROWS($A$15:A28)+$B$3)),INDEX(orderHistory[invoice_no],SMALL(IF(ISNUMBER(MATCH(orderHistory[order_type],$D$13,0)),MATCH(ROW(orderHistory[customer]),ROW(orderHistory[customer])),""),ROWS($A$15:A28)+$B$3))),IF($D$13="",INDEX(orderHistory[invoice_no],SMALL(IF(ISNUMBER(MATCH(orderHistory[status],$D$11,0)),MATCH(ROW(orderHistory[customer]),ROW(orderHistory[customer])),""),ROWS($A$15:A28)+$B$3)),INDEX(orderHistory[invoice_no],SMALL(IF(ISNUMBER(MATCH(orderHistory[status],$D$11,0)*MATCH(orderHistory[order_type],$D$13,0)),MATCH(ROW(orderHistory[customer]),ROW(orderHistory[customer])),""),ROWS($A$15:A28)+$B$3)))),IF($D$11="",IF($D$13="",INDEX(orderHistory[invoice_no],SMALL(IF(ISNUMBER(MATCH(orderHistory[customer],$D$9,0)),MATCH(ROW(orderHistory[customer]),ROW(orderHistory[customer])),""),ROWS($A$15:A28)+$B$3)),INDEX(orderHistory[invoice_no],SMALL(IF(ISNUMBER(MATCH(orderHistory[customer],$D$9,0)*MATCH(orderHistory[order_type],$D$13,0)),MATCH(ROW(orderHistory[customer]),ROW(orderHistory[customer])),""),ROWS($A$15:A28)+$B$3))),IF($D$13="",INDEX(orderHistory[invoice_no],SMALL(IF(ISNUMBER(MATCH(orderHistory[customer],$D$9,0)*MATCH(orderHistory[status],$D$11,0)),MATCH(ROW(orderHistory[customer]),ROW(orderHistory[customer])),""),ROWS($A$15:A28)+$B$3)),INDEX(orderHistory[invoice_no],SMALL(IF(ISNUMBER(MATCH(orderHistory[customer],$D$9,0)*MATCH(orderHistory[status],$D$11,0)*MATCH(orderHistory[order_type],$D$13,0)),MATCH(ROW(orderHistory[customer]),ROW(orderHistory[customer])),""),ROWS($A$15:A28)+$B$3))))),""))</f>
        <v>55</v>
      </c>
      <c r="Q23" s="381">
        <f t="array" ref="Q23">IF(IFERROR(IF($D$9="",IF($D$11="",IF($D$13="",INDEX(orderHistory[invoice_date],SMALL(MATCH(ROW(orderHistory[customer]),ROW(orderHistory[customer])),ROWS($A$15:A28)+$B$3)),INDEX(orderHistory[invoice_date],SMALL(IF(ISNUMBER(MATCH(orderHistory[order_type],$D$13,0)),MATCH(ROW(orderHistory[customer]),ROW(orderHistory[customer])),""),ROWS($A$15:A28)+$B$3))),IF($D$13="",INDEX(orderHistory[invoice_date],SMALL(IF(ISNUMBER(MATCH(orderHistory[status],$D$11,0)),MATCH(ROW(orderHistory[customer]),ROW(orderHistory[customer])),""),ROWS($A$15:A28)+$B$3)),INDEX(orderHistory[invoice_date],SMALL(IF(ISNUMBER(MATCH(orderHistory[status],$D$11,0)*MATCH(orderHistory[order_type],$D$13,0)),MATCH(ROW(orderHistory[customer]),ROW(orderHistory[customer])),""),ROWS($A$15:A28)+$B$3)))),IF($D$11="",IF($D$13="",INDEX(orderHistory[invoice_date],SMALL(IF(ISNUMBER(MATCH(orderHistory[customer],$D$9,0)),MATCH(ROW(orderHistory[customer]),ROW(orderHistory[customer])),""),ROWS($A$15:A28)+$B$3)),INDEX(orderHistory[invoice_date],SMALL(IF(ISNUMBER(MATCH(orderHistory[customer],$D$9,0)*MATCH(orderHistory[order_type],$D$13,0)),MATCH(ROW(orderHistory[customer]),ROW(orderHistory[customer])),""),ROWS($A$15:A28)+$B$3))),IF($D$13="",INDEX(orderHistory[invoice_date],SMALL(IF(ISNUMBER(MATCH(orderHistory[customer],$D$9,0)*MATCH(orderHistory[status],$D$11,0)),MATCH(ROW(orderHistory[customer]),ROW(orderHistory[customer])),""),ROWS($A$15:A28)+$B$3)),INDEX(orderHistory[invoice_date],SMALL(IF(ISNUMBER(MATCH(orderHistory[customer],$D$9,0)*MATCH(orderHistory[status],$D$11,0)*MATCH(orderHistory[order_type],$D$13,0)),MATCH(ROW(orderHistory[customer]),ROW(orderHistory[customer])),""),ROWS($A$15:A28)+$B$3))))),"")=0,"",IFERROR(IF($D$9="",IF($D$11="",IF($D$13="",INDEX(orderHistory[invoice_date],SMALL(MATCH(ROW(orderHistory[customer]),ROW(orderHistory[customer])),ROWS($A$15:A28)+$B$3)),INDEX(orderHistory[invoice_date],SMALL(IF(ISNUMBER(MATCH(orderHistory[order_type],$D$13,0)),MATCH(ROW(orderHistory[customer]),ROW(orderHistory[customer])),""),ROWS($A$15:A28)+$B$3))),IF($D$13="",INDEX(orderHistory[invoice_date],SMALL(IF(ISNUMBER(MATCH(orderHistory[status],$D$11,0)),MATCH(ROW(orderHistory[customer]),ROW(orderHistory[customer])),""),ROWS($A$15:A28)+$B$3)),INDEX(orderHistory[invoice_date],SMALL(IF(ISNUMBER(MATCH(orderHistory[status],$D$11,0)*MATCH(orderHistory[order_type],$D$13,0)),MATCH(ROW(orderHistory[customer]),ROW(orderHistory[customer])),""),ROWS($A$15:A28)+$B$3)))),IF($D$11="",IF($D$13="",INDEX(orderHistory[invoice_date],SMALL(IF(ISNUMBER(MATCH(orderHistory[customer],$D$9,0)),MATCH(ROW(orderHistory[customer]),ROW(orderHistory[customer])),""),ROWS($A$15:A28)+$B$3)),INDEX(orderHistory[invoice_date],SMALL(IF(ISNUMBER(MATCH(orderHistory[customer],$D$9,0)*MATCH(orderHistory[order_type],$D$13,0)),MATCH(ROW(orderHistory[customer]),ROW(orderHistory[customer])),""),ROWS($A$15:A28)+$B$3))),IF($D$13="",INDEX(orderHistory[invoice_date],SMALL(IF(ISNUMBER(MATCH(orderHistory[customer],$D$9,0)*MATCH(orderHistory[status],$D$11,0)),MATCH(ROW(orderHistory[customer]),ROW(orderHistory[customer])),""),ROWS($A$15:A28)+$B$3)),INDEX(orderHistory[invoice_date],SMALL(IF(ISNUMBER(MATCH(orderHistory[customer],$D$9,0)*MATCH(orderHistory[status],$D$11,0)*MATCH(orderHistory[order_type],$D$13,0)),MATCH(ROW(orderHistory[customer]),ROW(orderHistory[customer])),""),ROWS($A$15:A28)+$B$3))))),""))</f>
        <v>45349</v>
      </c>
      <c r="R23" s="377">
        <f t="array" ref="R23">IFERROR(IF($D$9="",IF($D$11="",IF($D$13="",INDEX(orderHistory[inv_amount],SMALL(MATCH(ROW(orderHistory[customer]),ROW(orderHistory[customer])),ROWS($A$15:A28)+$B$3)),INDEX(orderHistory[inv_amount],SMALL(IF(ISNUMBER(MATCH(orderHistory[order_type],$D$13,0)),MATCH(ROW(orderHistory[customer]),ROW(orderHistory[customer])),""),ROWS($A$15:A28)+$B$3))),IF($D$13="",INDEX(orderHistory[inv_amount],SMALL(IF(ISNUMBER(MATCH(orderHistory[status],$D$11,0)),MATCH(ROW(orderHistory[customer]),ROW(orderHistory[customer])),""),ROWS($A$15:A28)+$B$3)),INDEX(orderHistory[inv_amount],SMALL(IF(ISNUMBER(MATCH(orderHistory[status],$D$11,0)*MATCH(orderHistory[order_type],$D$13,0)),MATCH(ROW(orderHistory[customer]),ROW(orderHistory[customer])),""),ROWS($A$15:A28)+$B$3)))),IF($D$11="",IF($D$13="",INDEX(orderHistory[inv_amount],SMALL(IF(ISNUMBER(MATCH(orderHistory[customer],$D$9,0)),MATCH(ROW(orderHistory[customer]),ROW(orderHistory[customer])),""),ROWS($A$15:A28)+$B$3)),INDEX(orderHistory[inv_amount],SMALL(IF(ISNUMBER(MATCH(orderHistory[customer],$D$9,0)*MATCH(orderHistory[order_type],$D$13,0)),MATCH(ROW(orderHistory[customer]),ROW(orderHistory[customer])),""),ROWS($A$15:A28)+$B$3))),IF($D$13="",INDEX(orderHistory[inv_amount],SMALL(IF(ISNUMBER(MATCH(orderHistory[customer],$D$9,0)*MATCH(orderHistory[status],$D$11,0)),MATCH(ROW(orderHistory[customer]),ROW(orderHistory[customer])),""),ROWS($A$15:A28)+$B$3)),INDEX(orderHistory[inv_amount],SMALL(IF(ISNUMBER(MATCH(orderHistory[customer],$D$9,0)*MATCH(orderHistory[status],$D$11,0)*MATCH(orderHistory[order_type],$D$13,0)),MATCH(ROW(orderHistory[customer]),ROW(orderHistory[customer])),""),ROWS($A$15:A28)+$B$3))))),"")</f>
        <v>28778.48</v>
      </c>
      <c r="S23" s="383">
        <f t="shared" si="0"/>
        <v>2014.4936000000002</v>
      </c>
      <c r="T23" s="385" t="b">
        <f t="array" ref="T23">IFERROR(IF($D$9="",IF($D$11="",IF($D$13="",INDEX(orderHistory[payed],SMALL(MATCH(ROW(orderHistory[customer]),ROW(orderHistory[customer])),ROWS($A$15:A28)+$B$3)),INDEX(orderHistory[payed],SMALL(IF(ISNUMBER(MATCH(orderHistory[order_type],$D$13,0)),MATCH(ROW(orderHistory[customer]),ROW(orderHistory[customer])),""),ROWS($A$15:A28)+$B$3))),IF($D$13="",INDEX(orderHistory[payed],SMALL(IF(ISNUMBER(MATCH(orderHistory[status],$D$11,0)),MATCH(ROW(orderHistory[customer]),ROW(orderHistory[customer])),""),ROWS($A$15:A28)+$B$3)),INDEX(orderHistory[payed],SMALL(IF(ISNUMBER(MATCH(orderHistory[status],$D$11,0)*MATCH(orderHistory[order_type],$D$13,0)),MATCH(ROW(orderHistory[customer]),ROW(orderHistory[customer])),""),ROWS($A$15:A28)+$B$3)))),IF($D$11="",IF($D$13="",INDEX(orderHistory[payed],SMALL(IF(ISNUMBER(MATCH(orderHistory[customer],$D$9,0)),MATCH(ROW(orderHistory[customer]),ROW(orderHistory[customer])),""),ROWS($A$15:A28)+$B$3)),INDEX(orderHistory[payed],SMALL(IF(ISNUMBER(MATCH(orderHistory[customer],$D$9,0)*MATCH(orderHistory[order_type],$D$13,0)),MATCH(ROW(orderHistory[customer]),ROW(orderHistory[customer])),""),ROWS($A$15:A28)+$B$3))),IF($D$13="",INDEX(orderHistory[payed],SMALL(IF(ISNUMBER(MATCH(orderHistory[customer],$D$9,0)*MATCH(orderHistory[status],$D$11,0)),MATCH(ROW(orderHistory[customer]),ROW(orderHistory[customer])),""),ROWS($A$15:A28)+$B$3)),INDEX(orderHistory[payed],SMALL(IF(ISNUMBER(MATCH(orderHistory[customer],$D$9,0)*MATCH(orderHistory[status],$D$11,0)*MATCH(orderHistory[order_type],$D$13,0)),MATCH(ROW(orderHistory[customer]),ROW(orderHistory[customer])),""),ROWS($A$15:A28)+$B$3))))),"")</f>
        <v>1</v>
      </c>
      <c r="U23" s="386" t="str">
        <f t="array" ref="U23">IFERROR(IF($D$9="",IF($D$11="",IF($D$13="",INDEX(orderHistory[shipping_method],SMALL(MATCH(ROW(orderHistory[customer]),ROW(orderHistory[customer])),ROWS($A$15:A28)+$B$3)),INDEX(orderHistory[shipping_method],SMALL(IF(ISNUMBER(MATCH(orderHistory[order_type],$D$13,0)),MATCH(ROW(orderHistory[customer]),ROW(orderHistory[customer])),""),ROWS($A$15:A28)+$B$3))),IF($D$13="",INDEX(orderHistory[shipping_method],SMALL(IF(ISNUMBER(MATCH(orderHistory[status],$D$11,0)),MATCH(ROW(orderHistory[customer]),ROW(orderHistory[customer])),""),ROWS($A$15:A28)+$B$3)),INDEX(orderHistory[shipping_method],SMALL(IF(ISNUMBER(MATCH(orderHistory[status],$D$11,0)*MATCH(orderHistory[order_type],$D$13,0)),MATCH(ROW(orderHistory[customer]),ROW(orderHistory[customer])),""),ROWS($A$15:A28)+$B$3)))),IF($D$11="",IF($D$13="",INDEX(orderHistory[shipping_method],SMALL(IF(ISNUMBER(MATCH(orderHistory[customer],$D$9,0)),MATCH(ROW(orderHistory[customer]),ROW(orderHistory[customer])),""),ROWS($A$15:A28)+$B$3)),INDEX(orderHistory[shipping_method],SMALL(IF(ISNUMBER(MATCH(orderHistory[customer],$D$9,0)*MATCH(orderHistory[order_type],$D$13,0)),MATCH(ROW(orderHistory[customer]),ROW(orderHistory[customer])),""),ROWS($A$15:A28)+$B$3))),IF($D$13="",INDEX(orderHistory[shipping_method],SMALL(IF(ISNUMBER(MATCH(orderHistory[customer],$D$9,0)*MATCH(orderHistory[status],$D$11,0)),MATCH(ROW(orderHistory[customer]),ROW(orderHistory[customer])),""),ROWS($A$15:A28)+$B$3)),INDEX(orderHistory[shipping_method],SMALL(IF(ISNUMBER(MATCH(orderHistory[customer],$D$9,0)*MATCH(orderHistory[status],$D$11,0)*MATCH(orderHistory[order_type],$D$13,0)),MATCH(ROW(orderHistory[customer]),ROW(orderHistory[customer])),""),ROWS($A$15:A28)+$B$3))))),"")</f>
        <v>BY ROAD</v>
      </c>
      <c r="V23" s="387" t="str">
        <f t="array" ref="V23">IFERROR(IF($D$9="",IF($D$11="",IF($D$13="",INDEX(orderHistory[status],SMALL(MATCH(ROW(orderHistory[customer]),ROW(orderHistory[customer])),ROWS($A$15:A28)+$B$3)),INDEX(orderHistory[status],SMALL(IF(ISNUMBER(MATCH(orderHistory[order_type],$D$13,0)),MATCH(ROW(orderHistory[customer]),ROW(orderHistory[customer])),""),ROWS($A$15:A28)+$B$3))),IF($D$13="",INDEX(orderHistory[status],SMALL(IF(ISNUMBER(MATCH(orderHistory[status],$D$11,0)),MATCH(ROW(orderHistory[customer]),ROW(orderHistory[customer])),""),ROWS($A$15:A28)+$B$3)),INDEX(orderHistory[status],SMALL(IF(ISNUMBER(MATCH(orderHistory[status],$D$11,0)*MATCH(orderHistory[order_type],$D$13,0)),MATCH(ROW(orderHistory[customer]),ROW(orderHistory[customer])),""),ROWS($A$15:A28)+$B$3)))),IF($D$11="",IF($D$13="",INDEX(orderHistory[status],SMALL(IF(ISNUMBER(MATCH(orderHistory[customer],$D$9,0)),MATCH(ROW(orderHistory[customer]),ROW(orderHistory[customer])),""),ROWS($A$15:A28)+$B$3)),INDEX(orderHistory[status],SMALL(IF(ISNUMBER(MATCH(orderHistory[customer],$D$9,0)*MATCH(orderHistory[order_type],$D$13,0)),MATCH(ROW(orderHistory[customer]),ROW(orderHistory[customer])),""),ROWS($A$15:A28)+$B$3))),IF($D$13="",INDEX(orderHistory[status],SMALL(IF(ISNUMBER(MATCH(orderHistory[customer],$D$9,0)*MATCH(orderHistory[status],$D$11,0)),MATCH(ROW(orderHistory[customer]),ROW(orderHistory[customer])),""),ROWS($A$15:A28)+$B$3)),INDEX(orderHistory[status],SMALL(IF(ISNUMBER(MATCH(orderHistory[customer],$D$9,0)*MATCH(orderHistory[status],$D$11,0)*MATCH(orderHistory[order_type],$D$13,0)),MATCH(ROW(orderHistory[customer]),ROW(orderHistory[customer])),""),ROWS($A$15:A28)+$B$3))))),"")</f>
        <v>SHIPPED</v>
      </c>
      <c r="W23" s="111"/>
      <c r="AQ23" s="135" t="s">
        <v>717</v>
      </c>
      <c r="AR23" s="136"/>
      <c r="AS23" s="136"/>
      <c r="AT23" s="136"/>
      <c r="AU23" s="136"/>
      <c r="AW23" s="131"/>
      <c r="AX23" s="162"/>
      <c r="AY23" s="120"/>
      <c r="AZ23" s="120"/>
      <c r="BA23" s="120"/>
      <c r="BB23" s="120"/>
      <c r="BC23" s="120"/>
      <c r="BD23" s="907"/>
      <c r="BE23" s="908"/>
      <c r="BF23" s="908"/>
      <c r="BG23" s="908"/>
      <c r="BH23" s="909"/>
      <c r="BI23" s="291"/>
      <c r="BJ23" s="121"/>
      <c r="BK23" s="146"/>
      <c r="BL23" s="147"/>
      <c r="BM23" s="148"/>
      <c r="BN23" s="147"/>
      <c r="BO23" s="148"/>
      <c r="BZ23" s="304"/>
      <c r="CA23" s="270" t="str">
        <f>IF(BZ23="","",VLOOKUP(BZ23,bhpc_data[],7,FALSE))</f>
        <v/>
      </c>
      <c r="CB23" s="303"/>
      <c r="CC23" s="643"/>
      <c r="CD23" s="297"/>
      <c r="CE23" s="645"/>
      <c r="CF23" s="298"/>
      <c r="CG23" s="301" t="str">
        <f>IFERROR(ROUNDUP(CB23/VLOOKUP(BZ23,bhpc_data[],9,FALSE),0)+ROUNDUP(CD23/VLOOKUP(BZ23,bhpc_data[],9,FALSE),0),"")</f>
        <v/>
      </c>
      <c r="CH23" s="302" t="str">
        <f>IFERROR(ROUNDUP(CD23/VLOOKUP(BZ23,bhpc_data[],9,FALSE),0),"")</f>
        <v/>
      </c>
      <c r="CI23" s="302" t="str">
        <f>IFERROR(ROUNDUP(CF23/VLOOKUP(BZ23,bhpc_data[],9,FALSE),0),"")</f>
        <v/>
      </c>
      <c r="CJ23" s="302" t="str">
        <f>IFERROR(((CB23+CD23+CF23)/VLOOKUP(BZ23,bhpc_data[],9,FALSE))*VLOOKUP(BZ23,bhpc_data[],17,FALSE),"")</f>
        <v/>
      </c>
      <c r="CK23" s="302" t="str">
        <f>IFERROR(((CB23+CD23+CF23)/VLOOKUP(BZ23,bhpc_data[],9,FALSE))*VLOOKUP(BZ23,bhpc_data[],18,FALSE),"")</f>
        <v/>
      </c>
      <c r="CL23" s="346" t="str">
        <f>IFERROR((CB23+CD23)/VLOOKUP(BZ23,bhpc_data[],9,FALSE)*VLOOKUP(BZ23,bhpc_data[],14,FALSE)*VLOOKUP(BZ23,bhpc_data[],15,FALSE)*VLOOKUP(BZ23,bhpc_data[],16,FALSE)/1000000000,"")</f>
        <v/>
      </c>
      <c r="CM23" s="409" t="str">
        <f>IFERROR(VLOOKUP(BZ23,bhpc_data[],2,FALSE),"")</f>
        <v/>
      </c>
      <c r="CN23" s="409" t="str">
        <f>IFERROR(VLOOKUP(BZ23,bhpc_data[],19,FALSE),"")</f>
        <v/>
      </c>
      <c r="CO23" s="653" t="str">
        <f>IFERROR(VLOOKUP(BZ23,bhpc_data[],6,FALSE),"")</f>
        <v/>
      </c>
      <c r="CP23" s="654" t="str">
        <f>IFERROR(VLOOKUP(BZ23,inventory[],4,FALSE),"")</f>
        <v/>
      </c>
      <c r="CQ23" s="655" t="str">
        <f>IFERROR(IF(BZ23="","",IF($BX$15="SALE",VLOOKUP(BZ23,inventory[],5,FALSE),IF($BX$15="SAMPLING",VLOOKUP(BZ23,inventory[],5,FALSE),""))),"")</f>
        <v/>
      </c>
      <c r="CR23" s="656" t="str">
        <f>IFERROR(IF(BZ23="","",(CB23+CD23+CF23)*CQ23),"")</f>
        <v/>
      </c>
      <c r="CS23" s="557" t="str">
        <f>IF(BZ23="","",CB23*CC23+CD23*CE23)</f>
        <v/>
      </c>
      <c r="CU23" s="125"/>
      <c r="CV23" s="120"/>
      <c r="CW23" s="120"/>
      <c r="CX23" s="134"/>
      <c r="CY23" s="120"/>
      <c r="CZ23" s="121"/>
      <c r="DA23" s="540" t="str">
        <f>IFERROR(VLOOKUP(BZ23,bhpc_data[],22,FALSE),"")</f>
        <v/>
      </c>
      <c r="DF23" s="169"/>
      <c r="DG23" s="118"/>
      <c r="DH23" s="161"/>
      <c r="DI23" s="118"/>
      <c r="DJ23" s="118"/>
      <c r="DK23" s="118"/>
      <c r="DL23" s="118"/>
      <c r="DM23" s="118"/>
      <c r="DN23" s="118"/>
      <c r="DO23" s="118"/>
      <c r="DP23" s="118"/>
      <c r="DQ23" s="118"/>
      <c r="DR23" s="118"/>
      <c r="DS23" s="118"/>
      <c r="DT23" s="118"/>
      <c r="DU23" s="118"/>
      <c r="DV23" s="119"/>
      <c r="EE23" s="453" t="s">
        <v>67</v>
      </c>
      <c r="EF23" s="447" t="str">
        <f>VLOOKUP(EE23,bhpc_data[],7,FALSE)</f>
        <v>BHPC GIFT SET WOMEN #9 EDP50ML+DEO150ML+ROLLON50ML</v>
      </c>
      <c r="EG23" s="555">
        <f>IFERROR(VLOOKUP(EE23,inventory[],4,FALSE),0)</f>
        <v>286</v>
      </c>
      <c r="EH23" s="555">
        <f>IFERROR(VLOOKUP(warehouse[[#This Row],[SKU]],$EQ$10:$ES$38,3,FALSE),0)</f>
        <v>0</v>
      </c>
      <c r="EI23" s="555">
        <f>IFERROR(VLOOKUP(warehouse[[#This Row],[SKU]],$EM$10:$EO$61,3,FALSE),0)</f>
        <v>0</v>
      </c>
      <c r="EJ23" s="555">
        <f>warehouse[[#This Row],[T-1]]+warehouse[[#This Row],[SUPPLY]]-warehouse[[#This Row],[SALE + SAMPLING]]</f>
        <v>286</v>
      </c>
      <c r="EM23" s="74" t="s">
        <v>102</v>
      </c>
      <c r="EN23" s="74" t="s">
        <v>103</v>
      </c>
      <c r="EO23" s="431">
        <v>6</v>
      </c>
      <c r="EQ23" s="74" t="s">
        <v>895</v>
      </c>
      <c r="ER23" s="74" t="s">
        <v>1132</v>
      </c>
      <c r="ES23" s="446">
        <v>2496</v>
      </c>
    </row>
    <row r="24" spans="1:149" ht="15" customHeight="1" thickBot="1">
      <c r="F24" s="154"/>
      <c r="G24" s="932" t="str">
        <f>IFERROR(INDEX(clientData[hq_address3],MATCH($B$6,clientData[cod_cliente],0)),"")</f>
        <v>46240 VALENCIA, SPAIN</v>
      </c>
      <c r="H24" s="933"/>
      <c r="I24" s="934"/>
      <c r="J24" s="121"/>
      <c r="L24" s="274" t="str">
        <f t="array" ref="L24">IFERROR(IF($D$9="",IF($D$11="",IF($D$13="",INDEX(orderHistory[customer],SMALL(MATCH(ROW(orderHistory[customer]),ROW(orderHistory[customer])),ROWS($A$15:A29)+$B$3)),INDEX(orderHistory[customer],SMALL(IF(ISNUMBER(MATCH(orderHistory[order_type],$D$13,0)),MATCH(ROW(orderHistory[customer]),ROW(orderHistory[customer])),""),ROWS($A$15:A29)+$B$3))),IF($D$13="",INDEX(orderHistory[customer],SMALL(IF(ISNUMBER(MATCH(orderHistory[status],$D$11,0)),MATCH(ROW(orderHistory[customer]),ROW(orderHistory[customer])),""),ROWS($A$15:A29)+$B$3)),INDEX(orderHistory[customer],SMALL(IF(ISNUMBER(MATCH(orderHistory[status],$D$11,0)*MATCH(orderHistory[order_type],$D$13,0)),MATCH(ROW(orderHistory[customer]),ROW(orderHistory[customer])),""),ROWS($A$15:A29)+$B$3)))),IF($D$11="",IF($D$13="",INDEX(orderHistory[customer],SMALL(IF(ISNUMBER(MATCH(orderHistory[customer],$D$9,0)),MATCH(ROW(orderHistory[customer]),ROW(orderHistory[customer])),""),ROWS($A$15:A29)+$B$3)),INDEX(orderHistory[customer],SMALL(IF(ISNUMBER(MATCH(orderHistory[customer],$D$9,0)*MATCH(orderHistory[order_type],$D$13,0)),MATCH(ROW(orderHistory[customer]),ROW(orderHistory[customer])),""),ROWS($A$15:A29)+$B$3))),IF($D$13="",INDEX(orderHistory[customer],SMALL(IF(ISNUMBER(MATCH(orderHistory[customer],$D$9,0)*MATCH(orderHistory[status],$D$11,0)),MATCH(ROW(orderHistory[customer]),ROW(orderHistory[customer])),""),ROWS($A$15:A29)+$B$3)),INDEX(orderHistory[customer],SMALL(IF(ISNUMBER(MATCH(orderHistory[customer],$D$9,0)*MATCH(orderHistory[status],$D$11,0)*MATCH(orderHistory[order_type],$D$13,0)),MATCH(ROW(orderHistory[customer]),ROW(orderHistory[customer])),""),ROWS($A$15:A29)+$B$3))))),"")</f>
        <v>CIELOMED</v>
      </c>
      <c r="M24" s="391">
        <f t="array" ref="M24">IFERROR(IF($D$9="",IF($D$11="",IF($D$13="",INDEX(orderHistory[order_no],SMALL(MATCH(ROW(orderHistory[customer]),ROW(orderHistory[customer])),ROWS($A$15:A29)+$B$3)),INDEX(orderHistory[order_no],SMALL(IF(ISNUMBER(MATCH(orderHistory[order_type],$D$13,0)),MATCH(ROW(orderHistory[customer]),ROW(orderHistory[customer])),""),ROWS($A$15:A29)+$B$3))),IF($D$13="",INDEX(orderHistory[order_no],SMALL(IF(ISNUMBER(MATCH(orderHistory[status],$D$11,0)),MATCH(ROW(orderHistory[customer]),ROW(orderHistory[customer])),""),ROWS($A$15:A29)+$B$3)),INDEX(orderHistory[order_no],SMALL(IF(ISNUMBER(MATCH(orderHistory[status],$D$11,0)*MATCH(orderHistory[order_type],$D$13,0)),MATCH(ROW(orderHistory[customer]),ROW(orderHistory[customer])),""),ROWS($A$15:A29)+$B$3)))),IF($D$11="",IF($D$13="",INDEX(orderHistory[order_no],SMALL(IF(ISNUMBER(MATCH(orderHistory[customer],$D$9,0)),MATCH(ROW(orderHistory[customer]),ROW(orderHistory[customer])),""),ROWS($A$15:A29)+$B$3)),INDEX(orderHistory[order_no],SMALL(IF(ISNUMBER(MATCH(orderHistory[customer],$D$9,0)*MATCH(orderHistory[order_type],$D$13,0)),MATCH(ROW(orderHistory[customer]),ROW(orderHistory[customer])),""),ROWS($A$15:A29)+$B$3))),IF($D$13="",INDEX(orderHistory[order_no],SMALL(IF(ISNUMBER(MATCH(orderHistory[customer],$D$9,0)*MATCH(orderHistory[status],$D$11,0)),MATCH(ROW(orderHistory[customer]),ROW(orderHistory[customer])),""),ROWS($A$15:A29)+$B$3)),INDEX(orderHistory[order_no],SMALL(IF(ISNUMBER(MATCH(orderHistory[customer],$D$9,0)*MATCH(orderHistory[status],$D$11,0)*MATCH(orderHistory[order_type],$D$13,0)),MATCH(ROW(orderHistory[customer]),ROW(orderHistory[customer])),""),ROWS($A$15:A29)+$B$3))))),"")</f>
        <v>8</v>
      </c>
      <c r="N24" s="386" t="str">
        <f t="array" ref="N24">IFERROR(IF($D$9="",IF($D$11="",IF($D$13="",INDEX(orderHistory[order_type],SMALL(MATCH(ROW(orderHistory[customer]),ROW(orderHistory[customer])),ROWS($A$15:A29)+$B$3)),INDEX(orderHistory[order_type],SMALL(IF(ISNUMBER(MATCH(orderHistory[order_type],$D$13,0)),MATCH(ROW(orderHistory[customer]),ROW(orderHistory[customer])),""),ROWS($A$15:A29)+$B$3))),IF($D$13="",INDEX(orderHistory[order_type],SMALL(IF(ISNUMBER(MATCH(orderHistory[status],$D$11,0)),MATCH(ROW(orderHistory[customer]),ROW(orderHistory[customer])),""),ROWS($A$15:A29)+$B$3)),INDEX(orderHistory[order_type],SMALL(IF(ISNUMBER(MATCH(orderHistory[status],$D$11,0)*MATCH(orderHistory[order_type],$D$13,0)),MATCH(ROW(orderHistory[customer]),ROW(orderHistory[customer])),""),ROWS($A$15:A29)+$B$3)))),IF($D$11="",IF($D$13="",INDEX(orderHistory[order_type],SMALL(IF(ISNUMBER(MATCH(orderHistory[customer],$D$9,0)),MATCH(ROW(orderHistory[customer]),ROW(orderHistory[customer])),""),ROWS($A$15:A29)+$B$3)),INDEX(orderHistory[order_type],SMALL(IF(ISNUMBER(MATCH(orderHistory[customer],$D$9,0)*MATCH(orderHistory[order_type],$D$13,0)),MATCH(ROW(orderHistory[customer]),ROW(orderHistory[customer])),""),ROWS($A$15:A29)+$B$3))),IF($D$13="",INDEX(orderHistory[order_type],SMALL(IF(ISNUMBER(MATCH(orderHistory[customer],$D$9,0)*MATCH(orderHistory[status],$D$11,0)),MATCH(ROW(orderHistory[customer]),ROW(orderHistory[customer])),""),ROWS($A$15:A29)+$B$3)),INDEX(orderHistory[order_type],SMALL(IF(ISNUMBER(MATCH(orderHistory[customer],$D$9,0)*MATCH(orderHistory[status],$D$11,0)*MATCH(orderHistory[order_type],$D$13,0)),MATCH(ROW(orderHistory[customer]),ROW(orderHistory[customer])),""),ROWS($A$15:A29)+$B$3))))),"")</f>
        <v>SALE</v>
      </c>
      <c r="O24" s="275">
        <f t="array" ref="O24">IFERROR(IF($D$9="",IF($D$11="",IF($D$13="",INDEX(orderHistory[order_date],SMALL(MATCH(ROW(orderHistory[customer]),ROW(orderHistory[customer])),ROWS($A$15:A29)+$B$3)),INDEX(orderHistory[order_date],SMALL(IF(ISNUMBER(MATCH(orderHistory[order_type],$D$13,0)),MATCH(ROW(orderHistory[customer]),ROW(orderHistory[customer])),""),ROWS($A$15:A29)+$B$3))),IF($D$13="",INDEX(orderHistory[order_date],SMALL(IF(ISNUMBER(MATCH(orderHistory[status],$D$11,0)),MATCH(ROW(orderHistory[customer]),ROW(orderHistory[customer])),""),ROWS($A$15:A29)+$B$3)),INDEX(orderHistory[order_date],SMALL(IF(ISNUMBER(MATCH(orderHistory[status],$D$11,0)*MATCH(orderHistory[order_type],$D$13,0)),MATCH(ROW(orderHistory[customer]),ROW(orderHistory[customer])),""),ROWS($A$15:A29)+$B$3)))),IF($D$11="",IF($D$13="",INDEX(orderHistory[order_date],SMALL(IF(ISNUMBER(MATCH(orderHistory[customer],$D$9,0)),MATCH(ROW(orderHistory[customer]),ROW(orderHistory[customer])),""),ROWS($A$15:A29)+$B$3)),INDEX(orderHistory[order_date],SMALL(IF(ISNUMBER(MATCH(orderHistory[customer],$D$9,0)*MATCH(orderHistory[order_type],$D$13,0)),MATCH(ROW(orderHistory[customer]),ROW(orderHistory[customer])),""),ROWS($A$15:A29)+$B$3))),IF($D$13="",INDEX(orderHistory[order_date],SMALL(IF(ISNUMBER(MATCH(orderHistory[customer],$D$9,0)*MATCH(orderHistory[status],$D$11,0)),MATCH(ROW(orderHistory[customer]),ROW(orderHistory[customer])),""),ROWS($A$15:A29)+$B$3)),INDEX(orderHistory[order_date],SMALL(IF(ISNUMBER(MATCH(orderHistory[customer],$D$9,0)*MATCH(orderHistory[status],$D$11,0)*MATCH(orderHistory[order_type],$D$13,0)),MATCH(ROW(orderHistory[customer]),ROW(orderHistory[customer])),""),ROWS($A$15:A29)+$B$3))))),"")</f>
        <v>45344</v>
      </c>
      <c r="P24" s="379">
        <f t="array" ref="P24">IF(IFERROR(IF($D$9="",IF($D$11="",IF($D$13="",INDEX(orderHistory[invoice_no],SMALL(MATCH(ROW(orderHistory[customer]),ROW(orderHistory[customer])),ROWS($A$15:A29)+$B$3)),INDEX(orderHistory[invoice_no],SMALL(IF(ISNUMBER(MATCH(orderHistory[order_type],$D$13,0)),MATCH(ROW(orderHistory[customer]),ROW(orderHistory[customer])),""),ROWS($A$15:A29)+$B$3))),IF($D$13="",INDEX(orderHistory[invoice_no],SMALL(IF(ISNUMBER(MATCH(orderHistory[status],$D$11,0)),MATCH(ROW(orderHistory[customer]),ROW(orderHistory[customer])),""),ROWS($A$15:A29)+$B$3)),INDEX(orderHistory[invoice_no],SMALL(IF(ISNUMBER(MATCH(orderHistory[status],$D$11,0)*MATCH(orderHistory[order_type],$D$13,0)),MATCH(ROW(orderHistory[customer]),ROW(orderHistory[customer])),""),ROWS($A$15:A29)+$B$3)))),IF($D$11="",IF($D$13="",INDEX(orderHistory[invoice_no],SMALL(IF(ISNUMBER(MATCH(orderHistory[customer],$D$9,0)),MATCH(ROW(orderHistory[customer]),ROW(orderHistory[customer])),""),ROWS($A$15:A29)+$B$3)),INDEX(orderHistory[invoice_no],SMALL(IF(ISNUMBER(MATCH(orderHistory[customer],$D$9,0)*MATCH(orderHistory[order_type],$D$13,0)),MATCH(ROW(orderHistory[customer]),ROW(orderHistory[customer])),""),ROWS($A$15:A29)+$B$3))),IF($D$13="",INDEX(orderHistory[invoice_no],SMALL(IF(ISNUMBER(MATCH(orderHistory[customer],$D$9,0)*MATCH(orderHistory[status],$D$11,0)),MATCH(ROW(orderHistory[customer]),ROW(orderHistory[customer])),""),ROWS($A$15:A29)+$B$3)),INDEX(orderHistory[invoice_no],SMALL(IF(ISNUMBER(MATCH(orderHistory[customer],$D$9,0)*MATCH(orderHistory[status],$D$11,0)*MATCH(orderHistory[order_type],$D$13,0)),MATCH(ROW(orderHistory[customer]),ROW(orderHistory[customer])),""),ROWS($A$15:A29)+$B$3))))),"")=0,"",IFERROR(IF($D$9="",IF($D$11="",IF($D$13="",INDEX(orderHistory[invoice_no],SMALL(MATCH(ROW(orderHistory[customer]),ROW(orderHistory[customer])),ROWS($A$15:A29)+$B$3)),INDEX(orderHistory[invoice_no],SMALL(IF(ISNUMBER(MATCH(orderHistory[order_type],$D$13,0)),MATCH(ROW(orderHistory[customer]),ROW(orderHistory[customer])),""),ROWS($A$15:A29)+$B$3))),IF($D$13="",INDEX(orderHistory[invoice_no],SMALL(IF(ISNUMBER(MATCH(orderHistory[status],$D$11,0)),MATCH(ROW(orderHistory[customer]),ROW(orderHistory[customer])),""),ROWS($A$15:A29)+$B$3)),INDEX(orderHistory[invoice_no],SMALL(IF(ISNUMBER(MATCH(orderHistory[status],$D$11,0)*MATCH(orderHistory[order_type],$D$13,0)),MATCH(ROW(orderHistory[customer]),ROW(orderHistory[customer])),""),ROWS($A$15:A29)+$B$3)))),IF($D$11="",IF($D$13="",INDEX(orderHistory[invoice_no],SMALL(IF(ISNUMBER(MATCH(orderHistory[customer],$D$9,0)),MATCH(ROW(orderHistory[customer]),ROW(orderHistory[customer])),""),ROWS($A$15:A29)+$B$3)),INDEX(orderHistory[invoice_no],SMALL(IF(ISNUMBER(MATCH(orderHistory[customer],$D$9,0)*MATCH(orderHistory[order_type],$D$13,0)),MATCH(ROW(orderHistory[customer]),ROW(orderHistory[customer])),""),ROWS($A$15:A29)+$B$3))),IF($D$13="",INDEX(orderHistory[invoice_no],SMALL(IF(ISNUMBER(MATCH(orderHistory[customer],$D$9,0)*MATCH(orderHistory[status],$D$11,0)),MATCH(ROW(orderHistory[customer]),ROW(orderHistory[customer])),""),ROWS($A$15:A29)+$B$3)),INDEX(orderHistory[invoice_no],SMALL(IF(ISNUMBER(MATCH(orderHistory[customer],$D$9,0)*MATCH(orderHistory[status],$D$11,0)*MATCH(orderHistory[order_type],$D$13,0)),MATCH(ROW(orderHistory[customer]),ROW(orderHistory[customer])),""),ROWS($A$15:A29)+$B$3))))),""))</f>
        <v>50</v>
      </c>
      <c r="Q24" s="381">
        <f t="array" ref="Q24">IF(IFERROR(IF($D$9="",IF($D$11="",IF($D$13="",INDEX(orderHistory[invoice_date],SMALL(MATCH(ROW(orderHistory[customer]),ROW(orderHistory[customer])),ROWS($A$15:A29)+$B$3)),INDEX(orderHistory[invoice_date],SMALL(IF(ISNUMBER(MATCH(orderHistory[order_type],$D$13,0)),MATCH(ROW(orderHistory[customer]),ROW(orderHistory[customer])),""),ROWS($A$15:A29)+$B$3))),IF($D$13="",INDEX(orderHistory[invoice_date],SMALL(IF(ISNUMBER(MATCH(orderHistory[status],$D$11,0)),MATCH(ROW(orderHistory[customer]),ROW(orderHistory[customer])),""),ROWS($A$15:A29)+$B$3)),INDEX(orderHistory[invoice_date],SMALL(IF(ISNUMBER(MATCH(orderHistory[status],$D$11,0)*MATCH(orderHistory[order_type],$D$13,0)),MATCH(ROW(orderHistory[customer]),ROW(orderHistory[customer])),""),ROWS($A$15:A29)+$B$3)))),IF($D$11="",IF($D$13="",INDEX(orderHistory[invoice_date],SMALL(IF(ISNUMBER(MATCH(orderHistory[customer],$D$9,0)),MATCH(ROW(orderHistory[customer]),ROW(orderHistory[customer])),""),ROWS($A$15:A29)+$B$3)),INDEX(orderHistory[invoice_date],SMALL(IF(ISNUMBER(MATCH(orderHistory[customer],$D$9,0)*MATCH(orderHistory[order_type],$D$13,0)),MATCH(ROW(orderHistory[customer]),ROW(orderHistory[customer])),""),ROWS($A$15:A29)+$B$3))),IF($D$13="",INDEX(orderHistory[invoice_date],SMALL(IF(ISNUMBER(MATCH(orderHistory[customer],$D$9,0)*MATCH(orderHistory[status],$D$11,0)),MATCH(ROW(orderHistory[customer]),ROW(orderHistory[customer])),""),ROWS($A$15:A29)+$B$3)),INDEX(orderHistory[invoice_date],SMALL(IF(ISNUMBER(MATCH(orderHistory[customer],$D$9,0)*MATCH(orderHistory[status],$D$11,0)*MATCH(orderHistory[order_type],$D$13,0)),MATCH(ROW(orderHistory[customer]),ROW(orderHistory[customer])),""),ROWS($A$15:A29)+$B$3))))),"")=0,"",IFERROR(IF($D$9="",IF($D$11="",IF($D$13="",INDEX(orderHistory[invoice_date],SMALL(MATCH(ROW(orderHistory[customer]),ROW(orderHistory[customer])),ROWS($A$15:A29)+$B$3)),INDEX(orderHistory[invoice_date],SMALL(IF(ISNUMBER(MATCH(orderHistory[order_type],$D$13,0)),MATCH(ROW(orderHistory[customer]),ROW(orderHistory[customer])),""),ROWS($A$15:A29)+$B$3))),IF($D$13="",INDEX(orderHistory[invoice_date],SMALL(IF(ISNUMBER(MATCH(orderHistory[status],$D$11,0)),MATCH(ROW(orderHistory[customer]),ROW(orderHistory[customer])),""),ROWS($A$15:A29)+$B$3)),INDEX(orderHistory[invoice_date],SMALL(IF(ISNUMBER(MATCH(orderHistory[status],$D$11,0)*MATCH(orderHistory[order_type],$D$13,0)),MATCH(ROW(orderHistory[customer]),ROW(orderHistory[customer])),""),ROWS($A$15:A29)+$B$3)))),IF($D$11="",IF($D$13="",INDEX(orderHistory[invoice_date],SMALL(IF(ISNUMBER(MATCH(orderHistory[customer],$D$9,0)),MATCH(ROW(orderHistory[customer]),ROW(orderHistory[customer])),""),ROWS($A$15:A29)+$B$3)),INDEX(orderHistory[invoice_date],SMALL(IF(ISNUMBER(MATCH(orderHistory[customer],$D$9,0)*MATCH(orderHistory[order_type],$D$13,0)),MATCH(ROW(orderHistory[customer]),ROW(orderHistory[customer])),""),ROWS($A$15:A29)+$B$3))),IF($D$13="",INDEX(orderHistory[invoice_date],SMALL(IF(ISNUMBER(MATCH(orderHistory[customer],$D$9,0)*MATCH(orderHistory[status],$D$11,0)),MATCH(ROW(orderHistory[customer]),ROW(orderHistory[customer])),""),ROWS($A$15:A29)+$B$3)),INDEX(orderHistory[invoice_date],SMALL(IF(ISNUMBER(MATCH(orderHistory[customer],$D$9,0)*MATCH(orderHistory[status],$D$11,0)*MATCH(orderHistory[order_type],$D$13,0)),MATCH(ROW(orderHistory[customer]),ROW(orderHistory[customer])),""),ROWS($A$15:A29)+$B$3))))),""))</f>
        <v>45344</v>
      </c>
      <c r="R24" s="377">
        <f t="array" ref="R24">IFERROR(IF($D$9="",IF($D$11="",IF($D$13="",INDEX(orderHistory[inv_amount],SMALL(MATCH(ROW(orderHistory[customer]),ROW(orderHistory[customer])),ROWS($A$15:A29)+$B$3)),INDEX(orderHistory[inv_amount],SMALL(IF(ISNUMBER(MATCH(orderHistory[order_type],$D$13,0)),MATCH(ROW(orderHistory[customer]),ROW(orderHistory[customer])),""),ROWS($A$15:A29)+$B$3))),IF($D$13="",INDEX(orderHistory[inv_amount],SMALL(IF(ISNUMBER(MATCH(orderHistory[status],$D$11,0)),MATCH(ROW(orderHistory[customer]),ROW(orderHistory[customer])),""),ROWS($A$15:A29)+$B$3)),INDEX(orderHistory[inv_amount],SMALL(IF(ISNUMBER(MATCH(orderHistory[status],$D$11,0)*MATCH(orderHistory[order_type],$D$13,0)),MATCH(ROW(orderHistory[customer]),ROW(orderHistory[customer])),""),ROWS($A$15:A29)+$B$3)))),IF($D$11="",IF($D$13="",INDEX(orderHistory[inv_amount],SMALL(IF(ISNUMBER(MATCH(orderHistory[customer],$D$9,0)),MATCH(ROW(orderHistory[customer]),ROW(orderHistory[customer])),""),ROWS($A$15:A29)+$B$3)),INDEX(orderHistory[inv_amount],SMALL(IF(ISNUMBER(MATCH(orderHistory[customer],$D$9,0)*MATCH(orderHistory[order_type],$D$13,0)),MATCH(ROW(orderHistory[customer]),ROW(orderHistory[customer])),""),ROWS($A$15:A29)+$B$3))),IF($D$13="",INDEX(orderHistory[inv_amount],SMALL(IF(ISNUMBER(MATCH(orderHistory[customer],$D$9,0)*MATCH(orderHistory[status],$D$11,0)),MATCH(ROW(orderHistory[customer]),ROW(orderHistory[customer])),""),ROWS($A$15:A29)+$B$3)),INDEX(orderHistory[inv_amount],SMALL(IF(ISNUMBER(MATCH(orderHistory[customer],$D$9,0)*MATCH(orderHistory[status],$D$11,0)*MATCH(orderHistory[order_type],$D$13,0)),MATCH(ROW(orderHistory[customer]),ROW(orderHistory[customer])),""),ROWS($A$15:A29)+$B$3))))),"")</f>
        <v>3495.96</v>
      </c>
      <c r="S24" s="383">
        <f t="shared" si="0"/>
        <v>244.71720000000002</v>
      </c>
      <c r="T24" s="385" t="b">
        <f t="array" ref="T24">IFERROR(IF($D$9="",IF($D$11="",IF($D$13="",INDEX(orderHistory[payed],SMALL(MATCH(ROW(orderHistory[customer]),ROW(orderHistory[customer])),ROWS($A$15:A29)+$B$3)),INDEX(orderHistory[payed],SMALL(IF(ISNUMBER(MATCH(orderHistory[order_type],$D$13,0)),MATCH(ROW(orderHistory[customer]),ROW(orderHistory[customer])),""),ROWS($A$15:A29)+$B$3))),IF($D$13="",INDEX(orderHistory[payed],SMALL(IF(ISNUMBER(MATCH(orderHistory[status],$D$11,0)),MATCH(ROW(orderHistory[customer]),ROW(orderHistory[customer])),""),ROWS($A$15:A29)+$B$3)),INDEX(orderHistory[payed],SMALL(IF(ISNUMBER(MATCH(orderHistory[status],$D$11,0)*MATCH(orderHistory[order_type],$D$13,0)),MATCH(ROW(orderHistory[customer]),ROW(orderHistory[customer])),""),ROWS($A$15:A29)+$B$3)))),IF($D$11="",IF($D$13="",INDEX(orderHistory[payed],SMALL(IF(ISNUMBER(MATCH(orderHistory[customer],$D$9,0)),MATCH(ROW(orderHistory[customer]),ROW(orderHistory[customer])),""),ROWS($A$15:A29)+$B$3)),INDEX(orderHistory[payed],SMALL(IF(ISNUMBER(MATCH(orderHistory[customer],$D$9,0)*MATCH(orderHistory[order_type],$D$13,0)),MATCH(ROW(orderHistory[customer]),ROW(orderHistory[customer])),""),ROWS($A$15:A29)+$B$3))),IF($D$13="",INDEX(orderHistory[payed],SMALL(IF(ISNUMBER(MATCH(orderHistory[customer],$D$9,0)*MATCH(orderHistory[status],$D$11,0)),MATCH(ROW(orderHistory[customer]),ROW(orderHistory[customer])),""),ROWS($A$15:A29)+$B$3)),INDEX(orderHistory[payed],SMALL(IF(ISNUMBER(MATCH(orderHistory[customer],$D$9,0)*MATCH(orderHistory[status],$D$11,0)*MATCH(orderHistory[order_type],$D$13,0)),MATCH(ROW(orderHistory[customer]),ROW(orderHistory[customer])),""),ROWS($A$15:A29)+$B$3))))),"")</f>
        <v>1</v>
      </c>
      <c r="U24" s="386" t="str">
        <f t="array" ref="U24">IFERROR(IF($D$9="",IF($D$11="",IF($D$13="",INDEX(orderHistory[shipping_method],SMALL(MATCH(ROW(orderHistory[customer]),ROW(orderHistory[customer])),ROWS($A$15:A29)+$B$3)),INDEX(orderHistory[shipping_method],SMALL(IF(ISNUMBER(MATCH(orderHistory[order_type],$D$13,0)),MATCH(ROW(orderHistory[customer]),ROW(orderHistory[customer])),""),ROWS($A$15:A29)+$B$3))),IF($D$13="",INDEX(orderHistory[shipping_method],SMALL(IF(ISNUMBER(MATCH(orderHistory[status],$D$11,0)),MATCH(ROW(orderHistory[customer]),ROW(orderHistory[customer])),""),ROWS($A$15:A29)+$B$3)),INDEX(orderHistory[shipping_method],SMALL(IF(ISNUMBER(MATCH(orderHistory[status],$D$11,0)*MATCH(orderHistory[order_type],$D$13,0)),MATCH(ROW(orderHistory[customer]),ROW(orderHistory[customer])),""),ROWS($A$15:A29)+$B$3)))),IF($D$11="",IF($D$13="",INDEX(orderHistory[shipping_method],SMALL(IF(ISNUMBER(MATCH(orderHistory[customer],$D$9,0)),MATCH(ROW(orderHistory[customer]),ROW(orderHistory[customer])),""),ROWS($A$15:A29)+$B$3)),INDEX(orderHistory[shipping_method],SMALL(IF(ISNUMBER(MATCH(orderHistory[customer],$D$9,0)*MATCH(orderHistory[order_type],$D$13,0)),MATCH(ROW(orderHistory[customer]),ROW(orderHistory[customer])),""),ROWS($A$15:A29)+$B$3))),IF($D$13="",INDEX(orderHistory[shipping_method],SMALL(IF(ISNUMBER(MATCH(orderHistory[customer],$D$9,0)*MATCH(orderHistory[status],$D$11,0)),MATCH(ROW(orderHistory[customer]),ROW(orderHistory[customer])),""),ROWS($A$15:A29)+$B$3)),INDEX(orderHistory[shipping_method],SMALL(IF(ISNUMBER(MATCH(orderHistory[customer],$D$9,0)*MATCH(orderHistory[status],$D$11,0)*MATCH(orderHistory[order_type],$D$13,0)),MATCH(ROW(orderHistory[customer]),ROW(orderHistory[customer])),""),ROWS($A$15:A29)+$B$3))))),"")</f>
        <v>BY ROAD</v>
      </c>
      <c r="V24" s="387" t="str">
        <f t="array" ref="V24">IFERROR(IF($D$9="",IF($D$11="",IF($D$13="",INDEX(orderHistory[status],SMALL(MATCH(ROW(orderHistory[customer]),ROW(orderHistory[customer])),ROWS($A$15:A29)+$B$3)),INDEX(orderHistory[status],SMALL(IF(ISNUMBER(MATCH(orderHistory[order_type],$D$13,0)),MATCH(ROW(orderHistory[customer]),ROW(orderHistory[customer])),""),ROWS($A$15:A29)+$B$3))),IF($D$13="",INDEX(orderHistory[status],SMALL(IF(ISNUMBER(MATCH(orderHistory[status],$D$11,0)),MATCH(ROW(orderHistory[customer]),ROW(orderHistory[customer])),""),ROWS($A$15:A29)+$B$3)),INDEX(orderHistory[status],SMALL(IF(ISNUMBER(MATCH(orderHistory[status],$D$11,0)*MATCH(orderHistory[order_type],$D$13,0)),MATCH(ROW(orderHistory[customer]),ROW(orderHistory[customer])),""),ROWS($A$15:A29)+$B$3)))),IF($D$11="",IF($D$13="",INDEX(orderHistory[status],SMALL(IF(ISNUMBER(MATCH(orderHistory[customer],$D$9,0)),MATCH(ROW(orderHistory[customer]),ROW(orderHistory[customer])),""),ROWS($A$15:A29)+$B$3)),INDEX(orderHistory[status],SMALL(IF(ISNUMBER(MATCH(orderHistory[customer],$D$9,0)*MATCH(orderHistory[order_type],$D$13,0)),MATCH(ROW(orderHistory[customer]),ROW(orderHistory[customer])),""),ROWS($A$15:A29)+$B$3))),IF($D$13="",INDEX(orderHistory[status],SMALL(IF(ISNUMBER(MATCH(orderHistory[customer],$D$9,0)*MATCH(orderHistory[status],$D$11,0)),MATCH(ROW(orderHistory[customer]),ROW(orderHistory[customer])),""),ROWS($A$15:A29)+$B$3)),INDEX(orderHistory[status],SMALL(IF(ISNUMBER(MATCH(orderHistory[customer],$D$9,0)*MATCH(orderHistory[status],$D$11,0)*MATCH(orderHistory[order_type],$D$13,0)),MATCH(ROW(orderHistory[customer]),ROW(orderHistory[customer])),""),ROWS($A$15:A29)+$B$3))))),"")</f>
        <v>SHIPPED</v>
      </c>
      <c r="W24" s="111"/>
      <c r="AQ24" s="124"/>
      <c r="AR24" s="120"/>
      <c r="AS24" s="120"/>
      <c r="AT24" s="132"/>
      <c r="AU24" s="133"/>
      <c r="AV24" s="112"/>
      <c r="AW24" s="167"/>
      <c r="AX24" s="168"/>
      <c r="AY24" s="122"/>
      <c r="AZ24" s="122"/>
      <c r="BA24" s="122"/>
      <c r="BB24" s="122"/>
      <c r="BC24" s="122"/>
      <c r="BD24" s="122"/>
      <c r="BE24" s="122"/>
      <c r="BF24" s="122"/>
      <c r="BG24" s="176"/>
      <c r="BH24" s="122"/>
      <c r="BI24" s="122"/>
      <c r="BJ24" s="123"/>
      <c r="BK24" s="146"/>
      <c r="BL24" s="147"/>
      <c r="BM24" s="148"/>
      <c r="BN24" s="147"/>
      <c r="BO24" s="148"/>
      <c r="BZ24" s="295"/>
      <c r="CA24" s="270" t="str">
        <f>IF(BZ24="","",VLOOKUP(BZ24,bhpc_data[],7,FALSE))</f>
        <v/>
      </c>
      <c r="CB24" s="296"/>
      <c r="CC24" s="642"/>
      <c r="CD24" s="544"/>
      <c r="CE24" s="645"/>
      <c r="CF24" s="298"/>
      <c r="CG24" s="301" t="str">
        <f>IFERROR(ROUNDUP(CB24/VLOOKUP(BZ24,bhpc_data[],9,FALSE),0)+ROUNDUP(CD24/VLOOKUP(BZ24,bhpc_data[],9,FALSE),0),"")</f>
        <v/>
      </c>
      <c r="CH24" s="302" t="str">
        <f>IFERROR(ROUNDUP(CD24/VLOOKUP(BZ24,bhpc_data[],9,FALSE),0),"")</f>
        <v/>
      </c>
      <c r="CI24" s="302" t="str">
        <f>IFERROR(ROUNDUP(CF24/VLOOKUP(BZ24,bhpc_data[],9,FALSE),0),"")</f>
        <v/>
      </c>
      <c r="CJ24" s="302" t="str">
        <f>IFERROR(((CB24+CD24+CF24)/VLOOKUP(BZ24,bhpc_data[],9,FALSE))*VLOOKUP(BZ24,bhpc_data[],17,FALSE),"")</f>
        <v/>
      </c>
      <c r="CK24" s="302" t="str">
        <f>IFERROR(((CB24+CD24+CF24)/VLOOKUP(BZ24,bhpc_data[],9,FALSE))*VLOOKUP(BZ24,bhpc_data[],18,FALSE),"")</f>
        <v/>
      </c>
      <c r="CL24" s="346" t="str">
        <f>IFERROR((CB24+CD24)/VLOOKUP(BZ24,bhpc_data[],9,FALSE)*VLOOKUP(BZ24,bhpc_data[],14,FALSE)*VLOOKUP(BZ24,bhpc_data[],15,FALSE)*VLOOKUP(BZ24,bhpc_data[],16,FALSE)/1000000000,"")</f>
        <v/>
      </c>
      <c r="CM24" s="409" t="str">
        <f>IFERROR(VLOOKUP(BZ24,bhpc_data[],2,FALSE),"")</f>
        <v/>
      </c>
      <c r="CN24" s="409" t="str">
        <f>IFERROR(VLOOKUP(BZ24,bhpc_data[],19,FALSE),"")</f>
        <v/>
      </c>
      <c r="CO24" s="653" t="str">
        <f>IFERROR(VLOOKUP(BZ24,bhpc_data[],6,FALSE),"")</f>
        <v/>
      </c>
      <c r="CP24" s="654" t="str">
        <f>IFERROR(VLOOKUP(BZ24,inventory[],4,FALSE),"")</f>
        <v/>
      </c>
      <c r="CQ24" s="651" t="str">
        <f>IFERROR(IF(BZ24="","",IF($BX$15="SALE",VLOOKUP(BZ24,inventory[],5,FALSE),IF($BX$15="SAMPLING",VLOOKUP(BZ24,inventory[],5,FALSE),""))),"")</f>
        <v/>
      </c>
      <c r="CR24" s="652" t="str">
        <f>IFERROR(IF(BZ24="","",(CB24+CD24+CF24)*CQ24),"")</f>
        <v/>
      </c>
      <c r="CS24" s="557" t="str">
        <f>IF(BZ24="","",CB24*CC24+CD24*CE24)</f>
        <v/>
      </c>
      <c r="CU24" s="125"/>
      <c r="CV24" s="202" t="s">
        <v>718</v>
      </c>
      <c r="CW24" s="621">
        <f>SUM(CJ10:CJ109)</f>
        <v>284.40000000000003</v>
      </c>
      <c r="CX24" s="134" t="s">
        <v>31</v>
      </c>
      <c r="CY24" s="619">
        <f>SUM(productsCbm)</f>
        <v>0.51892499999999997</v>
      </c>
      <c r="CZ24" s="121"/>
      <c r="DA24" s="540" t="str">
        <f>IFERROR(VLOOKUP(BZ24,bhpc_data[],22,FALSE),"")</f>
        <v/>
      </c>
      <c r="DF24" s="131"/>
      <c r="DG24" s="120"/>
      <c r="DH24" s="162"/>
      <c r="DI24" s="120"/>
      <c r="DJ24" s="120"/>
      <c r="DK24" s="120"/>
      <c r="DL24" s="120"/>
      <c r="DM24" s="120"/>
      <c r="DN24" s="120"/>
      <c r="DO24" s="120"/>
      <c r="DP24" s="120"/>
      <c r="DQ24" s="120"/>
      <c r="DR24" s="120"/>
      <c r="DS24" s="120"/>
      <c r="DT24" s="120"/>
      <c r="DU24" s="120"/>
      <c r="DV24" s="121"/>
      <c r="EE24" s="453" t="s">
        <v>69</v>
      </c>
      <c r="EF24" s="447" t="str">
        <f>VLOOKUP(EE24,bhpc_data[],7,FALSE)</f>
        <v>BHPC GIFT SET WOMEN #8 EDP50ML+DEO150ML+ROLLON50ML</v>
      </c>
      <c r="EG24" s="555">
        <f>IFERROR(VLOOKUP(EE24,inventory[],4,FALSE),0)</f>
        <v>286</v>
      </c>
      <c r="EH24" s="555">
        <f>IFERROR(VLOOKUP(warehouse[[#This Row],[SKU]],$EQ$10:$ES$38,3,FALSE),0)</f>
        <v>0</v>
      </c>
      <c r="EI24" s="555">
        <f>IFERROR(VLOOKUP(warehouse[[#This Row],[SKU]],$EM$10:$EO$61,3,FALSE),0)</f>
        <v>0</v>
      </c>
      <c r="EJ24" s="555">
        <f>warehouse[[#This Row],[T-1]]+warehouse[[#This Row],[SUPPLY]]-warehouse[[#This Row],[SALE + SAMPLING]]</f>
        <v>286</v>
      </c>
      <c r="EM24" s="74" t="s">
        <v>104</v>
      </c>
      <c r="EN24" s="74" t="s">
        <v>105</v>
      </c>
      <c r="EO24" s="431">
        <v>6</v>
      </c>
      <c r="EQ24" s="74" t="s">
        <v>897</v>
      </c>
      <c r="ER24" s="74" t="s">
        <v>1133</v>
      </c>
      <c r="ES24" s="446">
        <v>2496</v>
      </c>
    </row>
    <row r="25" spans="1:149" ht="15" customHeight="1" thickBot="1">
      <c r="D25" s="672" t="s">
        <v>1263</v>
      </c>
      <c r="F25" s="154"/>
      <c r="G25" s="162" t="s">
        <v>720</v>
      </c>
      <c r="H25" s="120"/>
      <c r="I25" s="120"/>
      <c r="J25" s="121"/>
      <c r="L25" s="274" t="str">
        <f t="array" ref="L25">IFERROR(IF($D$9="",IF($D$11="",IF($D$13="",INDEX(orderHistory[customer],SMALL(MATCH(ROW(orderHistory[customer]),ROW(orderHistory[customer])),ROWS($A$15:A30)+$B$3)),INDEX(orderHistory[customer],SMALL(IF(ISNUMBER(MATCH(orderHistory[order_type],$D$13,0)),MATCH(ROW(orderHistory[customer]),ROW(orderHistory[customer])),""),ROWS($A$15:A30)+$B$3))),IF($D$13="",INDEX(orderHistory[customer],SMALL(IF(ISNUMBER(MATCH(orderHistory[status],$D$11,0)),MATCH(ROW(orderHistory[customer]),ROW(orderHistory[customer])),""),ROWS($A$15:A30)+$B$3)),INDEX(orderHistory[customer],SMALL(IF(ISNUMBER(MATCH(orderHistory[status],$D$11,0)*MATCH(orderHistory[order_type],$D$13,0)),MATCH(ROW(orderHistory[customer]),ROW(orderHistory[customer])),""),ROWS($A$15:A30)+$B$3)))),IF($D$11="",IF($D$13="",INDEX(orderHistory[customer],SMALL(IF(ISNUMBER(MATCH(orderHistory[customer],$D$9,0)),MATCH(ROW(orderHistory[customer]),ROW(orderHistory[customer])),""),ROWS($A$15:A30)+$B$3)),INDEX(orderHistory[customer],SMALL(IF(ISNUMBER(MATCH(orderHistory[customer],$D$9,0)*MATCH(orderHistory[order_type],$D$13,0)),MATCH(ROW(orderHistory[customer]),ROW(orderHistory[customer])),""),ROWS($A$15:A30)+$B$3))),IF($D$13="",INDEX(orderHistory[customer],SMALL(IF(ISNUMBER(MATCH(orderHistory[customer],$D$9,0)*MATCH(orderHistory[status],$D$11,0)),MATCH(ROW(orderHistory[customer]),ROW(orderHistory[customer])),""),ROWS($A$15:A30)+$B$3)),INDEX(orderHistory[customer],SMALL(IF(ISNUMBER(MATCH(orderHistory[customer],$D$9,0)*MATCH(orderHistory[status],$D$11,0)*MATCH(orderHistory[order_type],$D$13,0)),MATCH(ROW(orderHistory[customer]),ROW(orderHistory[customer])),""),ROWS($A$15:A30)+$B$3))))),"")</f>
        <v>LUXUM BEAUTY - HAMBURG</v>
      </c>
      <c r="M25" s="391">
        <f t="array" ref="M25">IFERROR(IF($D$9="",IF($D$11="",IF($D$13="",INDEX(orderHistory[order_no],SMALL(MATCH(ROW(orderHistory[customer]),ROW(orderHistory[customer])),ROWS($A$15:A30)+$B$3)),INDEX(orderHistory[order_no],SMALL(IF(ISNUMBER(MATCH(orderHistory[order_type],$D$13,0)),MATCH(ROW(orderHistory[customer]),ROW(orderHistory[customer])),""),ROWS($A$15:A30)+$B$3))),IF($D$13="",INDEX(orderHistory[order_no],SMALL(IF(ISNUMBER(MATCH(orderHistory[status],$D$11,0)),MATCH(ROW(orderHistory[customer]),ROW(orderHistory[customer])),""),ROWS($A$15:A30)+$B$3)),INDEX(orderHistory[order_no],SMALL(IF(ISNUMBER(MATCH(orderHistory[status],$D$11,0)*MATCH(orderHistory[order_type],$D$13,0)),MATCH(ROW(orderHistory[customer]),ROW(orderHistory[customer])),""),ROWS($A$15:A30)+$B$3)))),IF($D$11="",IF($D$13="",INDEX(orderHistory[order_no],SMALL(IF(ISNUMBER(MATCH(orderHistory[customer],$D$9,0)),MATCH(ROW(orderHistory[customer]),ROW(orderHistory[customer])),""),ROWS($A$15:A30)+$B$3)),INDEX(orderHistory[order_no],SMALL(IF(ISNUMBER(MATCH(orderHistory[customer],$D$9,0)*MATCH(orderHistory[order_type],$D$13,0)),MATCH(ROW(orderHistory[customer]),ROW(orderHistory[customer])),""),ROWS($A$15:A30)+$B$3))),IF($D$13="",INDEX(orderHistory[order_no],SMALL(IF(ISNUMBER(MATCH(orderHistory[customer],$D$9,0)*MATCH(orderHistory[status],$D$11,0)),MATCH(ROW(orderHistory[customer]),ROW(orderHistory[customer])),""),ROWS($A$15:A30)+$B$3)),INDEX(orderHistory[order_no],SMALL(IF(ISNUMBER(MATCH(orderHistory[customer],$D$9,0)*MATCH(orderHistory[status],$D$11,0)*MATCH(orderHistory[order_type],$D$13,0)),MATCH(ROW(orderHistory[customer]),ROW(orderHistory[customer])),""),ROWS($A$15:A30)+$B$3))))),"")</f>
        <v>7</v>
      </c>
      <c r="N25" s="386" t="str">
        <f t="array" ref="N25">IFERROR(IF($D$9="",IF($D$11="",IF($D$13="",INDEX(orderHistory[order_type],SMALL(MATCH(ROW(orderHistory[customer]),ROW(orderHistory[customer])),ROWS($A$15:A30)+$B$3)),INDEX(orderHistory[order_type],SMALL(IF(ISNUMBER(MATCH(orderHistory[order_type],$D$13,0)),MATCH(ROW(orderHistory[customer]),ROW(orderHistory[customer])),""),ROWS($A$15:A30)+$B$3))),IF($D$13="",INDEX(orderHistory[order_type],SMALL(IF(ISNUMBER(MATCH(orderHistory[status],$D$11,0)),MATCH(ROW(orderHistory[customer]),ROW(orderHistory[customer])),""),ROWS($A$15:A30)+$B$3)),INDEX(orderHistory[order_type],SMALL(IF(ISNUMBER(MATCH(orderHistory[status],$D$11,0)*MATCH(orderHistory[order_type],$D$13,0)),MATCH(ROW(orderHistory[customer]),ROW(orderHistory[customer])),""),ROWS($A$15:A30)+$B$3)))),IF($D$11="",IF($D$13="",INDEX(orderHistory[order_type],SMALL(IF(ISNUMBER(MATCH(orderHistory[customer],$D$9,0)),MATCH(ROW(orderHistory[customer]),ROW(orderHistory[customer])),""),ROWS($A$15:A30)+$B$3)),INDEX(orderHistory[order_type],SMALL(IF(ISNUMBER(MATCH(orderHistory[customer],$D$9,0)*MATCH(orderHistory[order_type],$D$13,0)),MATCH(ROW(orderHistory[customer]),ROW(orderHistory[customer])),""),ROWS($A$15:A30)+$B$3))),IF($D$13="",INDEX(orderHistory[order_type],SMALL(IF(ISNUMBER(MATCH(orderHistory[customer],$D$9,0)*MATCH(orderHistory[status],$D$11,0)),MATCH(ROW(orderHistory[customer]),ROW(orderHistory[customer])),""),ROWS($A$15:A30)+$B$3)),INDEX(orderHistory[order_type],SMALL(IF(ISNUMBER(MATCH(orderHistory[customer],$D$9,0)*MATCH(orderHistory[status],$D$11,0)*MATCH(orderHistory[order_type],$D$13,0)),MATCH(ROW(orderHistory[customer]),ROW(orderHistory[customer])),""),ROWS($A$15:A30)+$B$3))))),"")</f>
        <v>SALE</v>
      </c>
      <c r="O25" s="275">
        <f t="array" ref="O25">IFERROR(IF($D$9="",IF($D$11="",IF($D$13="",INDEX(orderHistory[order_date],SMALL(MATCH(ROW(orderHistory[customer]),ROW(orderHistory[customer])),ROWS($A$15:A30)+$B$3)),INDEX(orderHistory[order_date],SMALL(IF(ISNUMBER(MATCH(orderHistory[order_type],$D$13,0)),MATCH(ROW(orderHistory[customer]),ROW(orderHistory[customer])),""),ROWS($A$15:A30)+$B$3))),IF($D$13="",INDEX(orderHistory[order_date],SMALL(IF(ISNUMBER(MATCH(orderHistory[status],$D$11,0)),MATCH(ROW(orderHistory[customer]),ROW(orderHistory[customer])),""),ROWS($A$15:A30)+$B$3)),INDEX(orderHistory[order_date],SMALL(IF(ISNUMBER(MATCH(orderHistory[status],$D$11,0)*MATCH(orderHistory[order_type],$D$13,0)),MATCH(ROW(orderHistory[customer]),ROW(orderHistory[customer])),""),ROWS($A$15:A30)+$B$3)))),IF($D$11="",IF($D$13="",INDEX(orderHistory[order_date],SMALL(IF(ISNUMBER(MATCH(orderHistory[customer],$D$9,0)),MATCH(ROW(orderHistory[customer]),ROW(orderHistory[customer])),""),ROWS($A$15:A30)+$B$3)),INDEX(orderHistory[order_date],SMALL(IF(ISNUMBER(MATCH(orderHistory[customer],$D$9,0)*MATCH(orderHistory[order_type],$D$13,0)),MATCH(ROW(orderHistory[customer]),ROW(orderHistory[customer])),""),ROWS($A$15:A30)+$B$3))),IF($D$13="",INDEX(orderHistory[order_date],SMALL(IF(ISNUMBER(MATCH(orderHistory[customer],$D$9,0)*MATCH(orderHistory[status],$D$11,0)),MATCH(ROW(orderHistory[customer]),ROW(orderHistory[customer])),""),ROWS($A$15:A30)+$B$3)),INDEX(orderHistory[order_date],SMALL(IF(ISNUMBER(MATCH(orderHistory[customer],$D$9,0)*MATCH(orderHistory[status],$D$11,0)*MATCH(orderHistory[order_type],$D$13,0)),MATCH(ROW(orderHistory[customer]),ROW(orderHistory[customer])),""),ROWS($A$15:A30)+$B$3))))),"")</f>
        <v>45343</v>
      </c>
      <c r="P25" s="379">
        <f t="array" ref="P25">IF(IFERROR(IF($D$9="",IF($D$11="",IF($D$13="",INDEX(orderHistory[invoice_no],SMALL(MATCH(ROW(orderHistory[customer]),ROW(orderHistory[customer])),ROWS($A$15:A30)+$B$3)),INDEX(orderHistory[invoice_no],SMALL(IF(ISNUMBER(MATCH(orderHistory[order_type],$D$13,0)),MATCH(ROW(orderHistory[customer]),ROW(orderHistory[customer])),""),ROWS($A$15:A30)+$B$3))),IF($D$13="",INDEX(orderHistory[invoice_no],SMALL(IF(ISNUMBER(MATCH(orderHistory[status],$D$11,0)),MATCH(ROW(orderHistory[customer]),ROW(orderHistory[customer])),""),ROWS($A$15:A30)+$B$3)),INDEX(orderHistory[invoice_no],SMALL(IF(ISNUMBER(MATCH(orderHistory[status],$D$11,0)*MATCH(orderHistory[order_type],$D$13,0)),MATCH(ROW(orderHistory[customer]),ROW(orderHistory[customer])),""),ROWS($A$15:A30)+$B$3)))),IF($D$11="",IF($D$13="",INDEX(orderHistory[invoice_no],SMALL(IF(ISNUMBER(MATCH(orderHistory[customer],$D$9,0)),MATCH(ROW(orderHistory[customer]),ROW(orderHistory[customer])),""),ROWS($A$15:A30)+$B$3)),INDEX(orderHistory[invoice_no],SMALL(IF(ISNUMBER(MATCH(orderHistory[customer],$D$9,0)*MATCH(orderHistory[order_type],$D$13,0)),MATCH(ROW(orderHistory[customer]),ROW(orderHistory[customer])),""),ROWS($A$15:A30)+$B$3))),IF($D$13="",INDEX(orderHistory[invoice_no],SMALL(IF(ISNUMBER(MATCH(orderHistory[customer],$D$9,0)*MATCH(orderHistory[status],$D$11,0)),MATCH(ROW(orderHistory[customer]),ROW(orderHistory[customer])),""),ROWS($A$15:A30)+$B$3)),INDEX(orderHistory[invoice_no],SMALL(IF(ISNUMBER(MATCH(orderHistory[customer],$D$9,0)*MATCH(orderHistory[status],$D$11,0)*MATCH(orderHistory[order_type],$D$13,0)),MATCH(ROW(orderHistory[customer]),ROW(orderHistory[customer])),""),ROWS($A$15:A30)+$B$3))))),"")=0,"",IFERROR(IF($D$9="",IF($D$11="",IF($D$13="",INDEX(orderHistory[invoice_no],SMALL(MATCH(ROW(orderHistory[customer]),ROW(orderHistory[customer])),ROWS($A$15:A30)+$B$3)),INDEX(orderHistory[invoice_no],SMALL(IF(ISNUMBER(MATCH(orderHistory[order_type],$D$13,0)),MATCH(ROW(orderHistory[customer]),ROW(orderHistory[customer])),""),ROWS($A$15:A30)+$B$3))),IF($D$13="",INDEX(orderHistory[invoice_no],SMALL(IF(ISNUMBER(MATCH(orderHistory[status],$D$11,0)),MATCH(ROW(orderHistory[customer]),ROW(orderHistory[customer])),""),ROWS($A$15:A30)+$B$3)),INDEX(orderHistory[invoice_no],SMALL(IF(ISNUMBER(MATCH(orderHistory[status],$D$11,0)*MATCH(orderHistory[order_type],$D$13,0)),MATCH(ROW(orderHistory[customer]),ROW(orderHistory[customer])),""),ROWS($A$15:A30)+$B$3)))),IF($D$11="",IF($D$13="",INDEX(orderHistory[invoice_no],SMALL(IF(ISNUMBER(MATCH(orderHistory[customer],$D$9,0)),MATCH(ROW(orderHistory[customer]),ROW(orderHistory[customer])),""),ROWS($A$15:A30)+$B$3)),INDEX(orderHistory[invoice_no],SMALL(IF(ISNUMBER(MATCH(orderHistory[customer],$D$9,0)*MATCH(orderHistory[order_type],$D$13,0)),MATCH(ROW(orderHistory[customer]),ROW(orderHistory[customer])),""),ROWS($A$15:A30)+$B$3))),IF($D$13="",INDEX(orderHistory[invoice_no],SMALL(IF(ISNUMBER(MATCH(orderHistory[customer],$D$9,0)*MATCH(orderHistory[status],$D$11,0)),MATCH(ROW(orderHistory[customer]),ROW(orderHistory[customer])),""),ROWS($A$15:A30)+$B$3)),INDEX(orderHistory[invoice_no],SMALL(IF(ISNUMBER(MATCH(orderHistory[customer],$D$9,0)*MATCH(orderHistory[status],$D$11,0)*MATCH(orderHistory[order_type],$D$13,0)),MATCH(ROW(orderHistory[customer]),ROW(orderHistory[customer])),""),ROWS($A$15:A30)+$B$3))))),""))</f>
        <v>49</v>
      </c>
      <c r="Q25" s="381">
        <f t="array" ref="Q25">IF(IFERROR(IF($D$9="",IF($D$11="",IF($D$13="",INDEX(orderHistory[invoice_date],SMALL(MATCH(ROW(orderHistory[customer]),ROW(orderHistory[customer])),ROWS($A$15:A30)+$B$3)),INDEX(orderHistory[invoice_date],SMALL(IF(ISNUMBER(MATCH(orderHistory[order_type],$D$13,0)),MATCH(ROW(orderHistory[customer]),ROW(orderHistory[customer])),""),ROWS($A$15:A30)+$B$3))),IF($D$13="",INDEX(orderHistory[invoice_date],SMALL(IF(ISNUMBER(MATCH(orderHistory[status],$D$11,0)),MATCH(ROW(orderHistory[customer]),ROW(orderHistory[customer])),""),ROWS($A$15:A30)+$B$3)),INDEX(orderHistory[invoice_date],SMALL(IF(ISNUMBER(MATCH(orderHistory[status],$D$11,0)*MATCH(orderHistory[order_type],$D$13,0)),MATCH(ROW(orderHistory[customer]),ROW(orderHistory[customer])),""),ROWS($A$15:A30)+$B$3)))),IF($D$11="",IF($D$13="",INDEX(orderHistory[invoice_date],SMALL(IF(ISNUMBER(MATCH(orderHistory[customer],$D$9,0)),MATCH(ROW(orderHistory[customer]),ROW(orderHistory[customer])),""),ROWS($A$15:A30)+$B$3)),INDEX(orderHistory[invoice_date],SMALL(IF(ISNUMBER(MATCH(orderHistory[customer],$D$9,0)*MATCH(orderHistory[order_type],$D$13,0)),MATCH(ROW(orderHistory[customer]),ROW(orderHistory[customer])),""),ROWS($A$15:A30)+$B$3))),IF($D$13="",INDEX(orderHistory[invoice_date],SMALL(IF(ISNUMBER(MATCH(orderHistory[customer],$D$9,0)*MATCH(orderHistory[status],$D$11,0)),MATCH(ROW(orderHistory[customer]),ROW(orderHistory[customer])),""),ROWS($A$15:A30)+$B$3)),INDEX(orderHistory[invoice_date],SMALL(IF(ISNUMBER(MATCH(orderHistory[customer],$D$9,0)*MATCH(orderHistory[status],$D$11,0)*MATCH(orderHistory[order_type],$D$13,0)),MATCH(ROW(orderHistory[customer]),ROW(orderHistory[customer])),""),ROWS($A$15:A30)+$B$3))))),"")=0,"",IFERROR(IF($D$9="",IF($D$11="",IF($D$13="",INDEX(orderHistory[invoice_date],SMALL(MATCH(ROW(orderHistory[customer]),ROW(orderHistory[customer])),ROWS($A$15:A30)+$B$3)),INDEX(orderHistory[invoice_date],SMALL(IF(ISNUMBER(MATCH(orderHistory[order_type],$D$13,0)),MATCH(ROW(orderHistory[customer]),ROW(orderHistory[customer])),""),ROWS($A$15:A30)+$B$3))),IF($D$13="",INDEX(orderHistory[invoice_date],SMALL(IF(ISNUMBER(MATCH(orderHistory[status],$D$11,0)),MATCH(ROW(orderHistory[customer]),ROW(orderHistory[customer])),""),ROWS($A$15:A30)+$B$3)),INDEX(orderHistory[invoice_date],SMALL(IF(ISNUMBER(MATCH(orderHistory[status],$D$11,0)*MATCH(orderHistory[order_type],$D$13,0)),MATCH(ROW(orderHistory[customer]),ROW(orderHistory[customer])),""),ROWS($A$15:A30)+$B$3)))),IF($D$11="",IF($D$13="",INDEX(orderHistory[invoice_date],SMALL(IF(ISNUMBER(MATCH(orderHistory[customer],$D$9,0)),MATCH(ROW(orderHistory[customer]),ROW(orderHistory[customer])),""),ROWS($A$15:A30)+$B$3)),INDEX(orderHistory[invoice_date],SMALL(IF(ISNUMBER(MATCH(orderHistory[customer],$D$9,0)*MATCH(orderHistory[order_type],$D$13,0)),MATCH(ROW(orderHistory[customer]),ROW(orderHistory[customer])),""),ROWS($A$15:A30)+$B$3))),IF($D$13="",INDEX(orderHistory[invoice_date],SMALL(IF(ISNUMBER(MATCH(orderHistory[customer],$D$9,0)*MATCH(orderHistory[status],$D$11,0)),MATCH(ROW(orderHistory[customer]),ROW(orderHistory[customer])),""),ROWS($A$15:A30)+$B$3)),INDEX(orderHistory[invoice_date],SMALL(IF(ISNUMBER(MATCH(orderHistory[customer],$D$9,0)*MATCH(orderHistory[status],$D$11,0)*MATCH(orderHistory[order_type],$D$13,0)),MATCH(ROW(orderHistory[customer]),ROW(orderHistory[customer])),""),ROWS($A$15:A30)+$B$3))))),""))</f>
        <v>45343</v>
      </c>
      <c r="R25" s="377">
        <f t="array" ref="R25">IFERROR(IF($D$9="",IF($D$11="",IF($D$13="",INDEX(orderHistory[inv_amount],SMALL(MATCH(ROW(orderHistory[customer]),ROW(orderHistory[customer])),ROWS($A$15:A30)+$B$3)),INDEX(orderHistory[inv_amount],SMALL(IF(ISNUMBER(MATCH(orderHistory[order_type],$D$13,0)),MATCH(ROW(orderHistory[customer]),ROW(orderHistory[customer])),""),ROWS($A$15:A30)+$B$3))),IF($D$13="",INDEX(orderHistory[inv_amount],SMALL(IF(ISNUMBER(MATCH(orderHistory[status],$D$11,0)),MATCH(ROW(orderHistory[customer]),ROW(orderHistory[customer])),""),ROWS($A$15:A30)+$B$3)),INDEX(orderHistory[inv_amount],SMALL(IF(ISNUMBER(MATCH(orderHistory[status],$D$11,0)*MATCH(orderHistory[order_type],$D$13,0)),MATCH(ROW(orderHistory[customer]),ROW(orderHistory[customer])),""),ROWS($A$15:A30)+$B$3)))),IF($D$11="",IF($D$13="",INDEX(orderHistory[inv_amount],SMALL(IF(ISNUMBER(MATCH(orderHistory[customer],$D$9,0)),MATCH(ROW(orderHistory[customer]),ROW(orderHistory[customer])),""),ROWS($A$15:A30)+$B$3)),INDEX(orderHistory[inv_amount],SMALL(IF(ISNUMBER(MATCH(orderHistory[customer],$D$9,0)*MATCH(orderHistory[order_type],$D$13,0)),MATCH(ROW(orderHistory[customer]),ROW(orderHistory[customer])),""),ROWS($A$15:A30)+$B$3))),IF($D$13="",INDEX(orderHistory[inv_amount],SMALL(IF(ISNUMBER(MATCH(orderHistory[customer],$D$9,0)*MATCH(orderHistory[status],$D$11,0)),MATCH(ROW(orderHistory[customer]),ROW(orderHistory[customer])),""),ROWS($A$15:A30)+$B$3)),INDEX(orderHistory[inv_amount],SMALL(IF(ISNUMBER(MATCH(orderHistory[customer],$D$9,0)*MATCH(orderHistory[status],$D$11,0)*MATCH(orderHistory[order_type],$D$13,0)),MATCH(ROW(orderHistory[customer]),ROW(orderHistory[customer])),""),ROWS($A$15:A30)+$B$3))))),"")</f>
        <v>13787.5</v>
      </c>
      <c r="S25" s="383">
        <f t="shared" si="0"/>
        <v>965.12500000000011</v>
      </c>
      <c r="T25" s="385" t="b">
        <f t="array" ref="T25">IFERROR(IF($D$9="",IF($D$11="",IF($D$13="",INDEX(orderHistory[payed],SMALL(MATCH(ROW(orderHistory[customer]),ROW(orderHistory[customer])),ROWS($A$15:A30)+$B$3)),INDEX(orderHistory[payed],SMALL(IF(ISNUMBER(MATCH(orderHistory[order_type],$D$13,0)),MATCH(ROW(orderHistory[customer]),ROW(orderHistory[customer])),""),ROWS($A$15:A30)+$B$3))),IF($D$13="",INDEX(orderHistory[payed],SMALL(IF(ISNUMBER(MATCH(orderHistory[status],$D$11,0)),MATCH(ROW(orderHistory[customer]),ROW(orderHistory[customer])),""),ROWS($A$15:A30)+$B$3)),INDEX(orderHistory[payed],SMALL(IF(ISNUMBER(MATCH(orderHistory[status],$D$11,0)*MATCH(orderHistory[order_type],$D$13,0)),MATCH(ROW(orderHistory[customer]),ROW(orderHistory[customer])),""),ROWS($A$15:A30)+$B$3)))),IF($D$11="",IF($D$13="",INDEX(orderHistory[payed],SMALL(IF(ISNUMBER(MATCH(orderHistory[customer],$D$9,0)),MATCH(ROW(orderHistory[customer]),ROW(orderHistory[customer])),""),ROWS($A$15:A30)+$B$3)),INDEX(orderHistory[payed],SMALL(IF(ISNUMBER(MATCH(orderHistory[customer],$D$9,0)*MATCH(orderHistory[order_type],$D$13,0)),MATCH(ROW(orderHistory[customer]),ROW(orderHistory[customer])),""),ROWS($A$15:A30)+$B$3))),IF($D$13="",INDEX(orderHistory[payed],SMALL(IF(ISNUMBER(MATCH(orderHistory[customer],$D$9,0)*MATCH(orderHistory[status],$D$11,0)),MATCH(ROW(orderHistory[customer]),ROW(orderHistory[customer])),""),ROWS($A$15:A30)+$B$3)),INDEX(orderHistory[payed],SMALL(IF(ISNUMBER(MATCH(orderHistory[customer],$D$9,0)*MATCH(orderHistory[status],$D$11,0)*MATCH(orderHistory[order_type],$D$13,0)),MATCH(ROW(orderHistory[customer]),ROW(orderHistory[customer])),""),ROWS($A$15:A30)+$B$3))))),"")</f>
        <v>1</v>
      </c>
      <c r="U25" s="386" t="str">
        <f t="array" ref="U25">IFERROR(IF($D$9="",IF($D$11="",IF($D$13="",INDEX(orderHistory[shipping_method],SMALL(MATCH(ROW(orderHistory[customer]),ROW(orderHistory[customer])),ROWS($A$15:A30)+$B$3)),INDEX(orderHistory[shipping_method],SMALL(IF(ISNUMBER(MATCH(orderHistory[order_type],$D$13,0)),MATCH(ROW(orderHistory[customer]),ROW(orderHistory[customer])),""),ROWS($A$15:A30)+$B$3))),IF($D$13="",INDEX(orderHistory[shipping_method],SMALL(IF(ISNUMBER(MATCH(orderHistory[status],$D$11,0)),MATCH(ROW(orderHistory[customer]),ROW(orderHistory[customer])),""),ROWS($A$15:A30)+$B$3)),INDEX(orderHistory[shipping_method],SMALL(IF(ISNUMBER(MATCH(orderHistory[status],$D$11,0)*MATCH(orderHistory[order_type],$D$13,0)),MATCH(ROW(orderHistory[customer]),ROW(orderHistory[customer])),""),ROWS($A$15:A30)+$B$3)))),IF($D$11="",IF($D$13="",INDEX(orderHistory[shipping_method],SMALL(IF(ISNUMBER(MATCH(orderHistory[customer],$D$9,0)),MATCH(ROW(orderHistory[customer]),ROW(orderHistory[customer])),""),ROWS($A$15:A30)+$B$3)),INDEX(orderHistory[shipping_method],SMALL(IF(ISNUMBER(MATCH(orderHistory[customer],$D$9,0)*MATCH(orderHistory[order_type],$D$13,0)),MATCH(ROW(orderHistory[customer]),ROW(orderHistory[customer])),""),ROWS($A$15:A30)+$B$3))),IF($D$13="",INDEX(orderHistory[shipping_method],SMALL(IF(ISNUMBER(MATCH(orderHistory[customer],$D$9,0)*MATCH(orderHistory[status],$D$11,0)),MATCH(ROW(orderHistory[customer]),ROW(orderHistory[customer])),""),ROWS($A$15:A30)+$B$3)),INDEX(orderHistory[shipping_method],SMALL(IF(ISNUMBER(MATCH(orderHistory[customer],$D$9,0)*MATCH(orderHistory[status],$D$11,0)*MATCH(orderHistory[order_type],$D$13,0)),MATCH(ROW(orderHistory[customer]),ROW(orderHistory[customer])),""),ROWS($A$15:A30)+$B$3))))),"")</f>
        <v>BY ROAD</v>
      </c>
      <c r="V25" s="387" t="str">
        <f t="array" ref="V25">IFERROR(IF($D$9="",IF($D$11="",IF($D$13="",INDEX(orderHistory[status],SMALL(MATCH(ROW(orderHistory[customer]),ROW(orderHistory[customer])),ROWS($A$15:A30)+$B$3)),INDEX(orderHistory[status],SMALL(IF(ISNUMBER(MATCH(orderHistory[order_type],$D$13,0)),MATCH(ROW(orderHistory[customer]),ROW(orderHistory[customer])),""),ROWS($A$15:A30)+$B$3))),IF($D$13="",INDEX(orderHistory[status],SMALL(IF(ISNUMBER(MATCH(orderHistory[status],$D$11,0)),MATCH(ROW(orderHistory[customer]),ROW(orderHistory[customer])),""),ROWS($A$15:A30)+$B$3)),INDEX(orderHistory[status],SMALL(IF(ISNUMBER(MATCH(orderHistory[status],$D$11,0)*MATCH(orderHistory[order_type],$D$13,0)),MATCH(ROW(orderHistory[customer]),ROW(orderHistory[customer])),""),ROWS($A$15:A30)+$B$3)))),IF($D$11="",IF($D$13="",INDEX(orderHistory[status],SMALL(IF(ISNUMBER(MATCH(orderHistory[customer],$D$9,0)),MATCH(ROW(orderHistory[customer]),ROW(orderHistory[customer])),""),ROWS($A$15:A30)+$B$3)),INDEX(orderHistory[status],SMALL(IF(ISNUMBER(MATCH(orderHistory[customer],$D$9,0)*MATCH(orderHistory[order_type],$D$13,0)),MATCH(ROW(orderHistory[customer]),ROW(orderHistory[customer])),""),ROWS($A$15:A30)+$B$3))),IF($D$13="",INDEX(orderHistory[status],SMALL(IF(ISNUMBER(MATCH(orderHistory[customer],$D$9,0)*MATCH(orderHistory[status],$D$11,0)),MATCH(ROW(orderHistory[customer]),ROW(orderHistory[customer])),""),ROWS($A$15:A30)+$B$3)),INDEX(orderHistory[status],SMALL(IF(ISNUMBER(MATCH(orderHistory[customer],$D$9,0)*MATCH(orderHistory[status],$D$11,0)*MATCH(orderHistory[order_type],$D$13,0)),MATCH(ROW(orderHistory[customer]),ROW(orderHistory[customer])),""),ROWS($A$15:A30)+$B$3))))),"")</f>
        <v>SHIPPED</v>
      </c>
      <c r="W25" s="111"/>
      <c r="AQ25" s="125" t="s">
        <v>721</v>
      </c>
      <c r="AR25" s="964" t="s">
        <v>369</v>
      </c>
      <c r="AS25" s="964"/>
      <c r="AT25" s="964"/>
      <c r="AU25" s="133"/>
      <c r="AV25" s="112"/>
      <c r="AW25" s="71" t="s">
        <v>722</v>
      </c>
      <c r="BK25" s="146"/>
      <c r="BL25" s="147"/>
      <c r="BM25" s="148"/>
      <c r="BN25" s="147"/>
      <c r="BO25" s="148"/>
      <c r="BZ25" s="304"/>
      <c r="CA25" s="270" t="str">
        <f>IF(BZ25="","",VLOOKUP(BZ25,bhpc_data[],7,FALSE))</f>
        <v/>
      </c>
      <c r="CB25" s="303"/>
      <c r="CC25" s="643"/>
      <c r="CD25" s="544"/>
      <c r="CE25" s="645"/>
      <c r="CF25" s="298"/>
      <c r="CG25" s="301" t="str">
        <f>IFERROR(ROUNDUP(CB25/VLOOKUP(BZ25,bhpc_data[],9,FALSE),0)+ROUNDUP(CD25/VLOOKUP(BZ25,bhpc_data[],9,FALSE),0),"")</f>
        <v/>
      </c>
      <c r="CH25" s="302" t="str">
        <f>IFERROR(ROUNDUP(CD25/VLOOKUP(BZ25,bhpc_data[],9,FALSE),0),"")</f>
        <v/>
      </c>
      <c r="CI25" s="302" t="str">
        <f>IFERROR(ROUNDUP(CF25/VLOOKUP(BZ25,bhpc_data[],9,FALSE),0),"")</f>
        <v/>
      </c>
      <c r="CJ25" s="302" t="str">
        <f>IFERROR(((CB25+CD25+CF25)/VLOOKUP(BZ25,bhpc_data[],9,FALSE))*VLOOKUP(BZ25,bhpc_data[],17,FALSE),"")</f>
        <v/>
      </c>
      <c r="CK25" s="302" t="str">
        <f>IFERROR(((CB25+CD25+CF25)/VLOOKUP(BZ25,bhpc_data[],9,FALSE))*VLOOKUP(BZ25,bhpc_data[],18,FALSE),"")</f>
        <v/>
      </c>
      <c r="CL25" s="346" t="str">
        <f>IFERROR((CB25+CD25)/VLOOKUP(BZ25,bhpc_data[],9,FALSE)*VLOOKUP(BZ25,bhpc_data[],14,FALSE)*VLOOKUP(BZ25,bhpc_data[],15,FALSE)*VLOOKUP(BZ25,bhpc_data[],16,FALSE)/1000000000,"")</f>
        <v/>
      </c>
      <c r="CM25" s="409" t="str">
        <f>IFERROR(VLOOKUP(BZ25,bhpc_data[],2,FALSE),"")</f>
        <v/>
      </c>
      <c r="CN25" s="409" t="str">
        <f>IFERROR(VLOOKUP(BZ25,bhpc_data[],19,FALSE),"")</f>
        <v/>
      </c>
      <c r="CO25" s="653" t="str">
        <f>IFERROR(VLOOKUP(BZ25,bhpc_data[],6,FALSE),"")</f>
        <v/>
      </c>
      <c r="CP25" s="654" t="str">
        <f>IFERROR(VLOOKUP(BZ25,inventory[],4,FALSE),"")</f>
        <v/>
      </c>
      <c r="CQ25" s="655" t="str">
        <f>IFERROR(IF(BZ25="","",IF($BX$15="SALE",VLOOKUP(BZ25,inventory[],5,FALSE),IF($BX$15="SAMPLING",VLOOKUP(BZ25,inventory[],5,FALSE),""))),"")</f>
        <v/>
      </c>
      <c r="CR25" s="656" t="str">
        <f>IFERROR(IF(BZ25="","",(CB25+CD25+CF25)*CQ25),"")</f>
        <v/>
      </c>
      <c r="CS25" s="557" t="str">
        <f>IF(BZ25="","",CB25*CC25+CD25*CE25)</f>
        <v/>
      </c>
      <c r="CU25" s="125"/>
      <c r="CV25" s="202" t="s">
        <v>719</v>
      </c>
      <c r="CW25" s="621">
        <f>SUM(CK10:CK109)</f>
        <v>297</v>
      </c>
      <c r="CX25" s="134"/>
      <c r="CY25" s="120"/>
      <c r="CZ25" s="121"/>
      <c r="DA25" s="540" t="str">
        <f>IFERROR(VLOOKUP(BZ25,bhpc_data[],22,FALSE),"")</f>
        <v/>
      </c>
      <c r="DF25" s="131"/>
      <c r="DG25" s="120"/>
      <c r="DH25" s="162"/>
      <c r="DI25" s="120"/>
      <c r="DJ25" s="120"/>
      <c r="DK25" s="120"/>
      <c r="DL25" s="120"/>
      <c r="DM25" s="120"/>
      <c r="DN25" s="120"/>
      <c r="DO25" s="120"/>
      <c r="DP25" s="120"/>
      <c r="DQ25" s="120"/>
      <c r="DR25" s="120"/>
      <c r="DS25" s="120"/>
      <c r="DT25" s="120"/>
      <c r="DU25" s="120"/>
      <c r="DV25" s="121"/>
      <c r="EE25" s="453" t="s">
        <v>71</v>
      </c>
      <c r="EF25" s="447" t="str">
        <f>VLOOKUP(EE25,bhpc_data[],7,FALSE)</f>
        <v>BHPC GIFT SET WOMEN #2 EDP50ML+DEO150ML+ROLLON50ML</v>
      </c>
      <c r="EG25" s="555">
        <f>IFERROR(VLOOKUP(EE25,inventory[],4,FALSE),0)</f>
        <v>334</v>
      </c>
      <c r="EH25" s="555">
        <f>IFERROR(VLOOKUP(warehouse[[#This Row],[SKU]],$EQ$10:$ES$38,3,FALSE),0)</f>
        <v>0</v>
      </c>
      <c r="EI25" s="555">
        <f>IFERROR(VLOOKUP(warehouse[[#This Row],[SKU]],$EM$10:$EO$61,3,FALSE),0)</f>
        <v>0</v>
      </c>
      <c r="EJ25" s="555">
        <f>warehouse[[#This Row],[T-1]]+warehouse[[#This Row],[SUPPLY]]-warehouse[[#This Row],[SALE + SAMPLING]]</f>
        <v>334</v>
      </c>
      <c r="EM25" s="74" t="s">
        <v>106</v>
      </c>
      <c r="EN25" s="74" t="s">
        <v>107</v>
      </c>
      <c r="EO25" s="431">
        <v>6</v>
      </c>
      <c r="EQ25" s="74" t="s">
        <v>899</v>
      </c>
      <c r="ER25" s="74" t="s">
        <v>1134</v>
      </c>
      <c r="ES25" s="446">
        <v>2496</v>
      </c>
    </row>
    <row r="26" spans="1:149" ht="15" customHeight="1" thickBot="1">
      <c r="D26" s="675" t="str">
        <f>VLOOKUP(VLOOKUP($B$4,orderHistory[],15,FALSE),carriers[],2,FALSE)</f>
        <v>FERCAM S.P.A</v>
      </c>
      <c r="F26" s="154"/>
      <c r="G26" s="926" t="str">
        <f>IFERROR(INDEX(clientData[logistic_address1],MATCH($B$6,clientData[cod_cliente],0)),"")</f>
        <v>ALMACÉN CENTRAL</v>
      </c>
      <c r="H26" s="927"/>
      <c r="I26" s="928"/>
      <c r="J26" s="121"/>
      <c r="L26" s="274" t="str">
        <f t="array" ref="L26">IFERROR(IF($D$9="",IF($D$11="",IF($D$13="",INDEX(orderHistory[customer],SMALL(MATCH(ROW(orderHistory[customer]),ROW(orderHistory[customer])),ROWS($A$15:A31)+$B$3)),INDEX(orderHistory[customer],SMALL(IF(ISNUMBER(MATCH(orderHistory[order_type],$D$13,0)),MATCH(ROW(orderHistory[customer]),ROW(orderHistory[customer])),""),ROWS($A$15:A31)+$B$3))),IF($D$13="",INDEX(orderHistory[customer],SMALL(IF(ISNUMBER(MATCH(orderHistory[status],$D$11,0)),MATCH(ROW(orderHistory[customer]),ROW(orderHistory[customer])),""),ROWS($A$15:A31)+$B$3)),INDEX(orderHistory[customer],SMALL(IF(ISNUMBER(MATCH(orderHistory[status],$D$11,0)*MATCH(orderHistory[order_type],$D$13,0)),MATCH(ROW(orderHistory[customer]),ROW(orderHistory[customer])),""),ROWS($A$15:A31)+$B$3)))),IF($D$11="",IF($D$13="",INDEX(orderHistory[customer],SMALL(IF(ISNUMBER(MATCH(orderHistory[customer],$D$9,0)),MATCH(ROW(orderHistory[customer]),ROW(orderHistory[customer])),""),ROWS($A$15:A31)+$B$3)),INDEX(orderHistory[customer],SMALL(IF(ISNUMBER(MATCH(orderHistory[customer],$D$9,0)*MATCH(orderHistory[order_type],$D$13,0)),MATCH(ROW(orderHistory[customer]),ROW(orderHistory[customer])),""),ROWS($A$15:A31)+$B$3))),IF($D$13="",INDEX(orderHistory[customer],SMALL(IF(ISNUMBER(MATCH(orderHistory[customer],$D$9,0)*MATCH(orderHistory[status],$D$11,0)),MATCH(ROW(orderHistory[customer]),ROW(orderHistory[customer])),""),ROWS($A$15:A31)+$B$3)),INDEX(orderHistory[customer],SMALL(IF(ISNUMBER(MATCH(orderHistory[customer],$D$9,0)*MATCH(orderHistory[status],$D$11,0)*MATCH(orderHistory[order_type],$D$13,0)),MATCH(ROW(orderHistory[customer]),ROW(orderHistory[customer])),""),ROWS($A$15:A31)+$B$3))))),"")</f>
        <v>PER SCENT</v>
      </c>
      <c r="M26" s="391">
        <f t="array" ref="M26">IFERROR(IF($D$9="",IF($D$11="",IF($D$13="",INDEX(orderHistory[order_no],SMALL(MATCH(ROW(orderHistory[customer]),ROW(orderHistory[customer])),ROWS($A$15:A31)+$B$3)),INDEX(orderHistory[order_no],SMALL(IF(ISNUMBER(MATCH(orderHistory[order_type],$D$13,0)),MATCH(ROW(orderHistory[customer]),ROW(orderHistory[customer])),""),ROWS($A$15:A31)+$B$3))),IF($D$13="",INDEX(orderHistory[order_no],SMALL(IF(ISNUMBER(MATCH(orderHistory[status],$D$11,0)),MATCH(ROW(orderHistory[customer]),ROW(orderHistory[customer])),""),ROWS($A$15:A31)+$B$3)),INDEX(orderHistory[order_no],SMALL(IF(ISNUMBER(MATCH(orderHistory[status],$D$11,0)*MATCH(orderHistory[order_type],$D$13,0)),MATCH(ROW(orderHistory[customer]),ROW(orderHistory[customer])),""),ROWS($A$15:A31)+$B$3)))),IF($D$11="",IF($D$13="",INDEX(orderHistory[order_no],SMALL(IF(ISNUMBER(MATCH(orderHistory[customer],$D$9,0)),MATCH(ROW(orderHistory[customer]),ROW(orderHistory[customer])),""),ROWS($A$15:A31)+$B$3)),INDEX(orderHistory[order_no],SMALL(IF(ISNUMBER(MATCH(orderHistory[customer],$D$9,0)*MATCH(orderHistory[order_type],$D$13,0)),MATCH(ROW(orderHistory[customer]),ROW(orderHistory[customer])),""),ROWS($A$15:A31)+$B$3))),IF($D$13="",INDEX(orderHistory[order_no],SMALL(IF(ISNUMBER(MATCH(orderHistory[customer],$D$9,0)*MATCH(orderHistory[status],$D$11,0)),MATCH(ROW(orderHistory[customer]),ROW(orderHistory[customer])),""),ROWS($A$15:A31)+$B$3)),INDEX(orderHistory[order_no],SMALL(IF(ISNUMBER(MATCH(orderHistory[customer],$D$9,0)*MATCH(orderHistory[status],$D$11,0)*MATCH(orderHistory[order_type],$D$13,0)),MATCH(ROW(orderHistory[customer]),ROW(orderHistory[customer])),""),ROWS($A$15:A31)+$B$3))))),"")</f>
        <v>6</v>
      </c>
      <c r="N26" s="386" t="str">
        <f t="array" ref="N26">IFERROR(IF($D$9="",IF($D$11="",IF($D$13="",INDEX(orderHistory[order_type],SMALL(MATCH(ROW(orderHistory[customer]),ROW(orderHistory[customer])),ROWS($A$15:A31)+$B$3)),INDEX(orderHistory[order_type],SMALL(IF(ISNUMBER(MATCH(orderHistory[order_type],$D$13,0)),MATCH(ROW(orderHistory[customer]),ROW(orderHistory[customer])),""),ROWS($A$15:A31)+$B$3))),IF($D$13="",INDEX(orderHistory[order_type],SMALL(IF(ISNUMBER(MATCH(orderHistory[status],$D$11,0)),MATCH(ROW(orderHistory[customer]),ROW(orderHistory[customer])),""),ROWS($A$15:A31)+$B$3)),INDEX(orderHistory[order_type],SMALL(IF(ISNUMBER(MATCH(orderHistory[status],$D$11,0)*MATCH(orderHistory[order_type],$D$13,0)),MATCH(ROW(orderHistory[customer]),ROW(orderHistory[customer])),""),ROWS($A$15:A31)+$B$3)))),IF($D$11="",IF($D$13="",INDEX(orderHistory[order_type],SMALL(IF(ISNUMBER(MATCH(orderHistory[customer],$D$9,0)),MATCH(ROW(orderHistory[customer]),ROW(orderHistory[customer])),""),ROWS($A$15:A31)+$B$3)),INDEX(orderHistory[order_type],SMALL(IF(ISNUMBER(MATCH(orderHistory[customer],$D$9,0)*MATCH(orderHistory[order_type],$D$13,0)),MATCH(ROW(orderHistory[customer]),ROW(orderHistory[customer])),""),ROWS($A$15:A31)+$B$3))),IF($D$13="",INDEX(orderHistory[order_type],SMALL(IF(ISNUMBER(MATCH(orderHistory[customer],$D$9,0)*MATCH(orderHistory[status],$D$11,0)),MATCH(ROW(orderHistory[customer]),ROW(orderHistory[customer])),""),ROWS($A$15:A31)+$B$3)),INDEX(orderHistory[order_type],SMALL(IF(ISNUMBER(MATCH(orderHistory[customer],$D$9,0)*MATCH(orderHistory[status],$D$11,0)*MATCH(orderHistory[order_type],$D$13,0)),MATCH(ROW(orderHistory[customer]),ROW(orderHistory[customer])),""),ROWS($A$15:A31)+$B$3))))),"")</f>
        <v>SALE</v>
      </c>
      <c r="O26" s="275">
        <f t="array" ref="O26">IFERROR(IF($D$9="",IF($D$11="",IF($D$13="",INDEX(orderHistory[order_date],SMALL(MATCH(ROW(orderHistory[customer]),ROW(orderHistory[customer])),ROWS($A$15:A31)+$B$3)),INDEX(orderHistory[order_date],SMALL(IF(ISNUMBER(MATCH(orderHistory[order_type],$D$13,0)),MATCH(ROW(orderHistory[customer]),ROW(orderHistory[customer])),""),ROWS($A$15:A31)+$B$3))),IF($D$13="",INDEX(orderHistory[order_date],SMALL(IF(ISNUMBER(MATCH(orderHistory[status],$D$11,0)),MATCH(ROW(orderHistory[customer]),ROW(orderHistory[customer])),""),ROWS($A$15:A31)+$B$3)),INDEX(orderHistory[order_date],SMALL(IF(ISNUMBER(MATCH(orderHistory[status],$D$11,0)*MATCH(orderHistory[order_type],$D$13,0)),MATCH(ROW(orderHistory[customer]),ROW(orderHistory[customer])),""),ROWS($A$15:A31)+$B$3)))),IF($D$11="",IF($D$13="",INDEX(orderHistory[order_date],SMALL(IF(ISNUMBER(MATCH(orderHistory[customer],$D$9,0)),MATCH(ROW(orderHistory[customer]),ROW(orderHistory[customer])),""),ROWS($A$15:A31)+$B$3)),INDEX(orderHistory[order_date],SMALL(IF(ISNUMBER(MATCH(orderHistory[customer],$D$9,0)*MATCH(orderHistory[order_type],$D$13,0)),MATCH(ROW(orderHistory[customer]),ROW(orderHistory[customer])),""),ROWS($A$15:A31)+$B$3))),IF($D$13="",INDEX(orderHistory[order_date],SMALL(IF(ISNUMBER(MATCH(orderHistory[customer],$D$9,0)*MATCH(orderHistory[status],$D$11,0)),MATCH(ROW(orderHistory[customer]),ROW(orderHistory[customer])),""),ROWS($A$15:A31)+$B$3)),INDEX(orderHistory[order_date],SMALL(IF(ISNUMBER(MATCH(orderHistory[customer],$D$9,0)*MATCH(orderHistory[status],$D$11,0)*MATCH(orderHistory[order_type],$D$13,0)),MATCH(ROW(orderHistory[customer]),ROW(orderHistory[customer])),""),ROWS($A$15:A31)+$B$3))))),"")</f>
        <v>45342</v>
      </c>
      <c r="P26" s="379">
        <f t="array" ref="P26">IF(IFERROR(IF($D$9="",IF($D$11="",IF($D$13="",INDEX(orderHistory[invoice_no],SMALL(MATCH(ROW(orderHistory[customer]),ROW(orderHistory[customer])),ROWS($A$15:A31)+$B$3)),INDEX(orderHistory[invoice_no],SMALL(IF(ISNUMBER(MATCH(orderHistory[order_type],$D$13,0)),MATCH(ROW(orderHistory[customer]),ROW(orderHistory[customer])),""),ROWS($A$15:A31)+$B$3))),IF($D$13="",INDEX(orderHistory[invoice_no],SMALL(IF(ISNUMBER(MATCH(orderHistory[status],$D$11,0)),MATCH(ROW(orderHistory[customer]),ROW(orderHistory[customer])),""),ROWS($A$15:A31)+$B$3)),INDEX(orderHistory[invoice_no],SMALL(IF(ISNUMBER(MATCH(orderHistory[status],$D$11,0)*MATCH(orderHistory[order_type],$D$13,0)),MATCH(ROW(orderHistory[customer]),ROW(orderHistory[customer])),""),ROWS($A$15:A31)+$B$3)))),IF($D$11="",IF($D$13="",INDEX(orderHistory[invoice_no],SMALL(IF(ISNUMBER(MATCH(orderHistory[customer],$D$9,0)),MATCH(ROW(orderHistory[customer]),ROW(orderHistory[customer])),""),ROWS($A$15:A31)+$B$3)),INDEX(orderHistory[invoice_no],SMALL(IF(ISNUMBER(MATCH(orderHistory[customer],$D$9,0)*MATCH(orderHistory[order_type],$D$13,0)),MATCH(ROW(orderHistory[customer]),ROW(orderHistory[customer])),""),ROWS($A$15:A31)+$B$3))),IF($D$13="",INDEX(orderHistory[invoice_no],SMALL(IF(ISNUMBER(MATCH(orderHistory[customer],$D$9,0)*MATCH(orderHistory[status],$D$11,0)),MATCH(ROW(orderHistory[customer]),ROW(orderHistory[customer])),""),ROWS($A$15:A31)+$B$3)),INDEX(orderHistory[invoice_no],SMALL(IF(ISNUMBER(MATCH(orderHistory[customer],$D$9,0)*MATCH(orderHistory[status],$D$11,0)*MATCH(orderHistory[order_type],$D$13,0)),MATCH(ROW(orderHistory[customer]),ROW(orderHistory[customer])),""),ROWS($A$15:A31)+$B$3))))),"")=0,"",IFERROR(IF($D$9="",IF($D$11="",IF($D$13="",INDEX(orderHistory[invoice_no],SMALL(MATCH(ROW(orderHistory[customer]),ROW(orderHistory[customer])),ROWS($A$15:A31)+$B$3)),INDEX(orderHistory[invoice_no],SMALL(IF(ISNUMBER(MATCH(orderHistory[order_type],$D$13,0)),MATCH(ROW(orderHistory[customer]),ROW(orderHistory[customer])),""),ROWS($A$15:A31)+$B$3))),IF($D$13="",INDEX(orderHistory[invoice_no],SMALL(IF(ISNUMBER(MATCH(orderHistory[status],$D$11,0)),MATCH(ROW(orderHistory[customer]),ROW(orderHistory[customer])),""),ROWS($A$15:A31)+$B$3)),INDEX(orderHistory[invoice_no],SMALL(IF(ISNUMBER(MATCH(orderHistory[status],$D$11,0)*MATCH(orderHistory[order_type],$D$13,0)),MATCH(ROW(orderHistory[customer]),ROW(orderHistory[customer])),""),ROWS($A$15:A31)+$B$3)))),IF($D$11="",IF($D$13="",INDEX(orderHistory[invoice_no],SMALL(IF(ISNUMBER(MATCH(orderHistory[customer],$D$9,0)),MATCH(ROW(orderHistory[customer]),ROW(orderHistory[customer])),""),ROWS($A$15:A31)+$B$3)),INDEX(orderHistory[invoice_no],SMALL(IF(ISNUMBER(MATCH(orderHistory[customer],$D$9,0)*MATCH(orderHistory[order_type],$D$13,0)),MATCH(ROW(orderHistory[customer]),ROW(orderHistory[customer])),""),ROWS($A$15:A31)+$B$3))),IF($D$13="",INDEX(orderHistory[invoice_no],SMALL(IF(ISNUMBER(MATCH(orderHistory[customer],$D$9,0)*MATCH(orderHistory[status],$D$11,0)),MATCH(ROW(orderHistory[customer]),ROW(orderHistory[customer])),""),ROWS($A$15:A31)+$B$3)),INDEX(orderHistory[invoice_no],SMALL(IF(ISNUMBER(MATCH(orderHistory[customer],$D$9,0)*MATCH(orderHistory[status],$D$11,0)*MATCH(orderHistory[order_type],$D$13,0)),MATCH(ROW(orderHistory[customer]),ROW(orderHistory[customer])),""),ROWS($A$15:A31)+$B$3))))),""))</f>
        <v>46</v>
      </c>
      <c r="Q26" s="381">
        <f t="array" ref="Q26">IF(IFERROR(IF($D$9="",IF($D$11="",IF($D$13="",INDEX(orderHistory[invoice_date],SMALL(MATCH(ROW(orderHistory[customer]),ROW(orderHistory[customer])),ROWS($A$15:A31)+$B$3)),INDEX(orderHistory[invoice_date],SMALL(IF(ISNUMBER(MATCH(orderHistory[order_type],$D$13,0)),MATCH(ROW(orderHistory[customer]),ROW(orderHistory[customer])),""),ROWS($A$15:A31)+$B$3))),IF($D$13="",INDEX(orderHistory[invoice_date],SMALL(IF(ISNUMBER(MATCH(orderHistory[status],$D$11,0)),MATCH(ROW(orderHistory[customer]),ROW(orderHistory[customer])),""),ROWS($A$15:A31)+$B$3)),INDEX(orderHistory[invoice_date],SMALL(IF(ISNUMBER(MATCH(orderHistory[status],$D$11,0)*MATCH(orderHistory[order_type],$D$13,0)),MATCH(ROW(orderHistory[customer]),ROW(orderHistory[customer])),""),ROWS($A$15:A31)+$B$3)))),IF($D$11="",IF($D$13="",INDEX(orderHistory[invoice_date],SMALL(IF(ISNUMBER(MATCH(orderHistory[customer],$D$9,0)),MATCH(ROW(orderHistory[customer]),ROW(orderHistory[customer])),""),ROWS($A$15:A31)+$B$3)),INDEX(orderHistory[invoice_date],SMALL(IF(ISNUMBER(MATCH(orderHistory[customer],$D$9,0)*MATCH(orderHistory[order_type],$D$13,0)),MATCH(ROW(orderHistory[customer]),ROW(orderHistory[customer])),""),ROWS($A$15:A31)+$B$3))),IF($D$13="",INDEX(orderHistory[invoice_date],SMALL(IF(ISNUMBER(MATCH(orderHistory[customer],$D$9,0)*MATCH(orderHistory[status],$D$11,0)),MATCH(ROW(orderHistory[customer]),ROW(orderHistory[customer])),""),ROWS($A$15:A31)+$B$3)),INDEX(orderHistory[invoice_date],SMALL(IF(ISNUMBER(MATCH(orderHistory[customer],$D$9,0)*MATCH(orderHistory[status],$D$11,0)*MATCH(orderHistory[order_type],$D$13,0)),MATCH(ROW(orderHistory[customer]),ROW(orderHistory[customer])),""),ROWS($A$15:A31)+$B$3))))),"")=0,"",IFERROR(IF($D$9="",IF($D$11="",IF($D$13="",INDEX(orderHistory[invoice_date],SMALL(MATCH(ROW(orderHistory[customer]),ROW(orderHistory[customer])),ROWS($A$15:A31)+$B$3)),INDEX(orderHistory[invoice_date],SMALL(IF(ISNUMBER(MATCH(orderHistory[order_type],$D$13,0)),MATCH(ROW(orderHistory[customer]),ROW(orderHistory[customer])),""),ROWS($A$15:A31)+$B$3))),IF($D$13="",INDEX(orderHistory[invoice_date],SMALL(IF(ISNUMBER(MATCH(orderHistory[status],$D$11,0)),MATCH(ROW(orderHistory[customer]),ROW(orderHistory[customer])),""),ROWS($A$15:A31)+$B$3)),INDEX(orderHistory[invoice_date],SMALL(IF(ISNUMBER(MATCH(orderHistory[status],$D$11,0)*MATCH(orderHistory[order_type],$D$13,0)),MATCH(ROW(orderHistory[customer]),ROW(orderHistory[customer])),""),ROWS($A$15:A31)+$B$3)))),IF($D$11="",IF($D$13="",INDEX(orderHistory[invoice_date],SMALL(IF(ISNUMBER(MATCH(orderHistory[customer],$D$9,0)),MATCH(ROW(orderHistory[customer]),ROW(orderHistory[customer])),""),ROWS($A$15:A31)+$B$3)),INDEX(orderHistory[invoice_date],SMALL(IF(ISNUMBER(MATCH(orderHistory[customer],$D$9,0)*MATCH(orderHistory[order_type],$D$13,0)),MATCH(ROW(orderHistory[customer]),ROW(orderHistory[customer])),""),ROWS($A$15:A31)+$B$3))),IF($D$13="",INDEX(orderHistory[invoice_date],SMALL(IF(ISNUMBER(MATCH(orderHistory[customer],$D$9,0)*MATCH(orderHistory[status],$D$11,0)),MATCH(ROW(orderHistory[customer]),ROW(orderHistory[customer])),""),ROWS($A$15:A31)+$B$3)),INDEX(orderHistory[invoice_date],SMALL(IF(ISNUMBER(MATCH(orderHistory[customer],$D$9,0)*MATCH(orderHistory[status],$D$11,0)*MATCH(orderHistory[order_type],$D$13,0)),MATCH(ROW(orderHistory[customer]),ROW(orderHistory[customer])),""),ROWS($A$15:A31)+$B$3))))),""))</f>
        <v>45342</v>
      </c>
      <c r="R26" s="377">
        <f t="array" ref="R26">IFERROR(IF($D$9="",IF($D$11="",IF($D$13="",INDEX(orderHistory[inv_amount],SMALL(MATCH(ROW(orderHistory[customer]),ROW(orderHistory[customer])),ROWS($A$15:A31)+$B$3)),INDEX(orderHistory[inv_amount],SMALL(IF(ISNUMBER(MATCH(orderHistory[order_type],$D$13,0)),MATCH(ROW(orderHistory[customer]),ROW(orderHistory[customer])),""),ROWS($A$15:A31)+$B$3))),IF($D$13="",INDEX(orderHistory[inv_amount],SMALL(IF(ISNUMBER(MATCH(orderHistory[status],$D$11,0)),MATCH(ROW(orderHistory[customer]),ROW(orderHistory[customer])),""),ROWS($A$15:A31)+$B$3)),INDEX(orderHistory[inv_amount],SMALL(IF(ISNUMBER(MATCH(orderHistory[status],$D$11,0)*MATCH(orderHistory[order_type],$D$13,0)),MATCH(ROW(orderHistory[customer]),ROW(orderHistory[customer])),""),ROWS($A$15:A31)+$B$3)))),IF($D$11="",IF($D$13="",INDEX(orderHistory[inv_amount],SMALL(IF(ISNUMBER(MATCH(orderHistory[customer],$D$9,0)),MATCH(ROW(orderHistory[customer]),ROW(orderHistory[customer])),""),ROWS($A$15:A31)+$B$3)),INDEX(orderHistory[inv_amount],SMALL(IF(ISNUMBER(MATCH(orderHistory[customer],$D$9,0)*MATCH(orderHistory[order_type],$D$13,0)),MATCH(ROW(orderHistory[customer]),ROW(orderHistory[customer])),""),ROWS($A$15:A31)+$B$3))),IF($D$13="",INDEX(orderHistory[inv_amount],SMALL(IF(ISNUMBER(MATCH(orderHistory[customer],$D$9,0)*MATCH(orderHistory[status],$D$11,0)),MATCH(ROW(orderHistory[customer]),ROW(orderHistory[customer])),""),ROWS($A$15:A31)+$B$3)),INDEX(orderHistory[inv_amount],SMALL(IF(ISNUMBER(MATCH(orderHistory[customer],$D$9,0)*MATCH(orderHistory[status],$D$11,0)*MATCH(orderHistory[order_type],$D$13,0)),MATCH(ROW(orderHistory[customer]),ROW(orderHistory[customer])),""),ROWS($A$15:A31)+$B$3))))),"")</f>
        <v>13868.783562923185</v>
      </c>
      <c r="S26" s="383">
        <f t="shared" si="0"/>
        <v>970.81484940462303</v>
      </c>
      <c r="T26" s="385" t="b">
        <f t="array" ref="T26">IFERROR(IF($D$9="",IF($D$11="",IF($D$13="",INDEX(orderHistory[payed],SMALL(MATCH(ROW(orderHistory[customer]),ROW(orderHistory[customer])),ROWS($A$15:A31)+$B$3)),INDEX(orderHistory[payed],SMALL(IF(ISNUMBER(MATCH(orderHistory[order_type],$D$13,0)),MATCH(ROW(orderHistory[customer]),ROW(orderHistory[customer])),""),ROWS($A$15:A31)+$B$3))),IF($D$13="",INDEX(orderHistory[payed],SMALL(IF(ISNUMBER(MATCH(orderHistory[status],$D$11,0)),MATCH(ROW(orderHistory[customer]),ROW(orderHistory[customer])),""),ROWS($A$15:A31)+$B$3)),INDEX(orderHistory[payed],SMALL(IF(ISNUMBER(MATCH(orderHistory[status],$D$11,0)*MATCH(orderHistory[order_type],$D$13,0)),MATCH(ROW(orderHistory[customer]),ROW(orderHistory[customer])),""),ROWS($A$15:A31)+$B$3)))),IF($D$11="",IF($D$13="",INDEX(orderHistory[payed],SMALL(IF(ISNUMBER(MATCH(orderHistory[customer],$D$9,0)),MATCH(ROW(orderHistory[customer]),ROW(orderHistory[customer])),""),ROWS($A$15:A31)+$B$3)),INDEX(orderHistory[payed],SMALL(IF(ISNUMBER(MATCH(orderHistory[customer],$D$9,0)*MATCH(orderHistory[order_type],$D$13,0)),MATCH(ROW(orderHistory[customer]),ROW(orderHistory[customer])),""),ROWS($A$15:A31)+$B$3))),IF($D$13="",INDEX(orderHistory[payed],SMALL(IF(ISNUMBER(MATCH(orderHistory[customer],$D$9,0)*MATCH(orderHistory[status],$D$11,0)),MATCH(ROW(orderHistory[customer]),ROW(orderHistory[customer])),""),ROWS($A$15:A31)+$B$3)),INDEX(orderHistory[payed],SMALL(IF(ISNUMBER(MATCH(orderHistory[customer],$D$9,0)*MATCH(orderHistory[status],$D$11,0)*MATCH(orderHistory[order_type],$D$13,0)),MATCH(ROW(orderHistory[customer]),ROW(orderHistory[customer])),""),ROWS($A$15:A31)+$B$3))))),"")</f>
        <v>1</v>
      </c>
      <c r="U26" s="386" t="str">
        <f t="array" ref="U26">IFERROR(IF($D$9="",IF($D$11="",IF($D$13="",INDEX(orderHistory[shipping_method],SMALL(MATCH(ROW(orderHistory[customer]),ROW(orderHistory[customer])),ROWS($A$15:A31)+$B$3)),INDEX(orderHistory[shipping_method],SMALL(IF(ISNUMBER(MATCH(orderHistory[order_type],$D$13,0)),MATCH(ROW(orderHistory[customer]),ROW(orderHistory[customer])),""),ROWS($A$15:A31)+$B$3))),IF($D$13="",INDEX(orderHistory[shipping_method],SMALL(IF(ISNUMBER(MATCH(orderHistory[status],$D$11,0)),MATCH(ROW(orderHistory[customer]),ROW(orderHistory[customer])),""),ROWS($A$15:A31)+$B$3)),INDEX(orderHistory[shipping_method],SMALL(IF(ISNUMBER(MATCH(orderHistory[status],$D$11,0)*MATCH(orderHistory[order_type],$D$13,0)),MATCH(ROW(orderHistory[customer]),ROW(orderHistory[customer])),""),ROWS($A$15:A31)+$B$3)))),IF($D$11="",IF($D$13="",INDEX(orderHistory[shipping_method],SMALL(IF(ISNUMBER(MATCH(orderHistory[customer],$D$9,0)),MATCH(ROW(orderHistory[customer]),ROW(orderHistory[customer])),""),ROWS($A$15:A31)+$B$3)),INDEX(orderHistory[shipping_method],SMALL(IF(ISNUMBER(MATCH(orderHistory[customer],$D$9,0)*MATCH(orderHistory[order_type],$D$13,0)),MATCH(ROW(orderHistory[customer]),ROW(orderHistory[customer])),""),ROWS($A$15:A31)+$B$3))),IF($D$13="",INDEX(orderHistory[shipping_method],SMALL(IF(ISNUMBER(MATCH(orderHistory[customer],$D$9,0)*MATCH(orderHistory[status],$D$11,0)),MATCH(ROW(orderHistory[customer]),ROW(orderHistory[customer])),""),ROWS($A$15:A31)+$B$3)),INDEX(orderHistory[shipping_method],SMALL(IF(ISNUMBER(MATCH(orderHistory[customer],$D$9,0)*MATCH(orderHistory[status],$D$11,0)*MATCH(orderHistory[order_type],$D$13,0)),MATCH(ROW(orderHistory[customer]),ROW(orderHistory[customer])),""),ROWS($A$15:A31)+$B$3))))),"")</f>
        <v>BY ROAD</v>
      </c>
      <c r="V26" s="387" t="str">
        <f t="array" ref="V26">IFERROR(IF($D$9="",IF($D$11="",IF($D$13="",INDEX(orderHistory[status],SMALL(MATCH(ROW(orderHistory[customer]),ROW(orderHistory[customer])),ROWS($A$15:A31)+$B$3)),INDEX(orderHistory[status],SMALL(IF(ISNUMBER(MATCH(orderHistory[order_type],$D$13,0)),MATCH(ROW(orderHistory[customer]),ROW(orderHistory[customer])),""),ROWS($A$15:A31)+$B$3))),IF($D$13="",INDEX(orderHistory[status],SMALL(IF(ISNUMBER(MATCH(orderHistory[status],$D$11,0)),MATCH(ROW(orderHistory[customer]),ROW(orderHistory[customer])),""),ROWS($A$15:A31)+$B$3)),INDEX(orderHistory[status],SMALL(IF(ISNUMBER(MATCH(orderHistory[status],$D$11,0)*MATCH(orderHistory[order_type],$D$13,0)),MATCH(ROW(orderHistory[customer]),ROW(orderHistory[customer])),""),ROWS($A$15:A31)+$B$3)))),IF($D$11="",IF($D$13="",INDEX(orderHistory[status],SMALL(IF(ISNUMBER(MATCH(orderHistory[customer],$D$9,0)),MATCH(ROW(orderHistory[customer]),ROW(orderHistory[customer])),""),ROWS($A$15:A31)+$B$3)),INDEX(orderHistory[status],SMALL(IF(ISNUMBER(MATCH(orderHistory[customer],$D$9,0)*MATCH(orderHistory[order_type],$D$13,0)),MATCH(ROW(orderHistory[customer]),ROW(orderHistory[customer])),""),ROWS($A$15:A31)+$B$3))),IF($D$13="",INDEX(orderHistory[status],SMALL(IF(ISNUMBER(MATCH(orderHistory[customer],$D$9,0)*MATCH(orderHistory[status],$D$11,0)),MATCH(ROW(orderHistory[customer]),ROW(orderHistory[customer])),""),ROWS($A$15:A31)+$B$3)),INDEX(orderHistory[status],SMALL(IF(ISNUMBER(MATCH(orderHistory[customer],$D$9,0)*MATCH(orderHistory[status],$D$11,0)*MATCH(orderHistory[order_type],$D$13,0)),MATCH(ROW(orderHistory[customer]),ROW(orderHistory[customer])),""),ROWS($A$15:A31)+$B$3))))),"")</f>
        <v>SHIPPED</v>
      </c>
      <c r="W26" s="111"/>
      <c r="AQ26" s="159"/>
      <c r="AR26" s="964"/>
      <c r="AS26" s="964"/>
      <c r="AT26" s="964"/>
      <c r="AU26" s="133"/>
      <c r="AV26" s="112"/>
      <c r="AW26" s="169"/>
      <c r="AX26" s="118" t="s">
        <v>722</v>
      </c>
      <c r="AY26" s="118"/>
      <c r="AZ26" s="118"/>
      <c r="BA26" s="118"/>
      <c r="BB26" s="118" t="s">
        <v>1089</v>
      </c>
      <c r="BC26" s="118"/>
      <c r="BD26" s="118"/>
      <c r="BE26" s="118"/>
      <c r="BF26" s="118"/>
      <c r="BG26" s="174"/>
      <c r="BH26" s="118"/>
      <c r="BI26" s="118"/>
      <c r="BJ26" s="119"/>
      <c r="BK26" s="146"/>
      <c r="BL26" s="147"/>
      <c r="BM26" s="148"/>
      <c r="BN26" s="147"/>
      <c r="BO26" s="148"/>
      <c r="BZ26" s="295"/>
      <c r="CA26" s="270" t="str">
        <f>IF(BZ26="","",VLOOKUP(BZ26,bhpc_data[],7,FALSE))</f>
        <v/>
      </c>
      <c r="CB26" s="296"/>
      <c r="CC26" s="642"/>
      <c r="CD26" s="297"/>
      <c r="CE26" s="645"/>
      <c r="CF26" s="298"/>
      <c r="CG26" s="301" t="str">
        <f>IFERROR(ROUNDUP(CB26/VLOOKUP(BZ26,bhpc_data[],9,FALSE),0)+ROUNDUP(CD26/VLOOKUP(BZ26,bhpc_data[],9,FALSE),0),"")</f>
        <v/>
      </c>
      <c r="CH26" s="302" t="str">
        <f>IFERROR(ROUNDUP(CD26/VLOOKUP(BZ26,bhpc_data[],9,FALSE),0),"")</f>
        <v/>
      </c>
      <c r="CI26" s="302" t="str">
        <f>IFERROR(ROUNDUP(CF26/VLOOKUP(BZ26,bhpc_data[],9,FALSE),0),"")</f>
        <v/>
      </c>
      <c r="CJ26" s="302" t="str">
        <f>IFERROR(((CB26+CD26+CF26)/VLOOKUP(BZ26,bhpc_data[],9,FALSE))*VLOOKUP(BZ26,bhpc_data[],17,FALSE),"")</f>
        <v/>
      </c>
      <c r="CK26" s="302" t="str">
        <f>IFERROR(((CB26+CD26+CF26)/VLOOKUP(BZ26,bhpc_data[],9,FALSE))*VLOOKUP(BZ26,bhpc_data[],18,FALSE),"")</f>
        <v/>
      </c>
      <c r="CL26" s="346" t="str">
        <f>IFERROR((CB26+CD26)/VLOOKUP(BZ26,bhpc_data[],9,FALSE)*VLOOKUP(BZ26,bhpc_data[],14,FALSE)*VLOOKUP(BZ26,bhpc_data[],15,FALSE)*VLOOKUP(BZ26,bhpc_data[],16,FALSE)/1000000000,"")</f>
        <v/>
      </c>
      <c r="CM26" s="409" t="str">
        <f>IFERROR(VLOOKUP(BZ26,bhpc_data[],2,FALSE),"")</f>
        <v/>
      </c>
      <c r="CN26" s="409" t="str">
        <f>IFERROR(VLOOKUP(BZ26,bhpc_data[],19,FALSE),"")</f>
        <v/>
      </c>
      <c r="CO26" s="653" t="str">
        <f>IFERROR(VLOOKUP(BZ26,bhpc_data[],6,FALSE),"")</f>
        <v/>
      </c>
      <c r="CP26" s="654" t="str">
        <f>IFERROR(VLOOKUP(BZ26,inventory[],4,FALSE),"")</f>
        <v/>
      </c>
      <c r="CQ26" s="651" t="str">
        <f>IFERROR(IF(BZ26="","",IF($BX$15="SALE",VLOOKUP(BZ26,inventory[],5,FALSE),IF($BX$15="SAMPLING",VLOOKUP(BZ26,inventory[],5,FALSE),""))),"")</f>
        <v/>
      </c>
      <c r="CR26" s="652" t="str">
        <f>IFERROR(IF(BZ26="","",(CB26+CD26+CF26)*CQ26),"")</f>
        <v/>
      </c>
      <c r="CS26" s="557" t="str">
        <f>IF(BZ26="","",CB26*CC26+CD26*CE26)</f>
        <v/>
      </c>
      <c r="CU26" s="167"/>
      <c r="CV26" s="122"/>
      <c r="CW26" s="122"/>
      <c r="CX26" s="122"/>
      <c r="CY26" s="122"/>
      <c r="CZ26" s="123"/>
      <c r="DA26" s="540" t="str">
        <f>IFERROR(VLOOKUP(BZ26,bhpc_data[],22,FALSE),"")</f>
        <v/>
      </c>
      <c r="DF26" s="131"/>
      <c r="DG26" s="120"/>
      <c r="DH26" s="162"/>
      <c r="DI26" s="120"/>
      <c r="DJ26" s="120" t="s">
        <v>687</v>
      </c>
      <c r="DK26" s="120"/>
      <c r="DL26" s="120"/>
      <c r="DM26" s="120"/>
      <c r="DN26" s="120"/>
      <c r="DO26" s="120"/>
      <c r="DP26" s="120"/>
      <c r="DQ26" s="120"/>
      <c r="DR26" s="120"/>
      <c r="DS26" s="120"/>
      <c r="DT26" s="120"/>
      <c r="DU26" s="120"/>
      <c r="DV26" s="121"/>
      <c r="EE26" s="453" t="s">
        <v>73</v>
      </c>
      <c r="EF26" s="447" t="str">
        <f>VLOOKUP(EE26,bhpc_data[],7,FALSE)</f>
        <v>BHPC SPORT MEN 1 EDT 50ML</v>
      </c>
      <c r="EG26" s="555">
        <f>IFERROR(VLOOKUP(EE26,inventory[],4,FALSE),0)</f>
        <v>24</v>
      </c>
      <c r="EH26" s="555">
        <f>IFERROR(VLOOKUP(warehouse[[#This Row],[SKU]],$EQ$10:$ES$38,3,FALSE),0)</f>
        <v>0</v>
      </c>
      <c r="EI26" s="555">
        <f>IFERROR(VLOOKUP(warehouse[[#This Row],[SKU]],$EM$10:$EO$61,3,FALSE),0)</f>
        <v>0</v>
      </c>
      <c r="EJ26" s="555">
        <f>warehouse[[#This Row],[T-1]]+warehouse[[#This Row],[SUPPLY]]-warehouse[[#This Row],[SALE + SAMPLING]]</f>
        <v>24</v>
      </c>
      <c r="EM26" s="74" t="s">
        <v>57</v>
      </c>
      <c r="EN26" s="74" t="s">
        <v>58</v>
      </c>
      <c r="EO26" s="431">
        <v>157</v>
      </c>
      <c r="EQ26" s="74" t="s">
        <v>901</v>
      </c>
      <c r="ER26" s="74" t="s">
        <v>1135</v>
      </c>
      <c r="ES26" s="446">
        <v>2496</v>
      </c>
    </row>
    <row r="27" spans="1:149" ht="15" customHeight="1" thickBot="1">
      <c r="D27" s="676" t="str">
        <f>VLOOKUP(VLOOKUP($B$4,orderHistory[],15,FALSE),carriers[],3,FALSE)</f>
        <v>VIA FRATELLI CANEPA 8</v>
      </c>
      <c r="F27" s="159"/>
      <c r="G27" s="920" t="str">
        <f>IFERROR(INDEX(clientData[logistic_address2],MATCH(B6,clientData[cod_cliente],0)),"")</f>
        <v>C/ALEMANYA, 15 - CARLET</v>
      </c>
      <c r="H27" s="921"/>
      <c r="I27" s="922"/>
      <c r="J27" s="121"/>
      <c r="L27" s="274" t="str">
        <f t="array" ref="L27">IFERROR(IF($D$9="",IF($D$11="",IF($D$13="",INDEX(orderHistory[customer],SMALL(MATCH(ROW(orderHistory[customer]),ROW(orderHistory[customer])),ROWS($A$15:A32)+$B$3)),INDEX(orderHistory[customer],SMALL(IF(ISNUMBER(MATCH(orderHistory[order_type],$D$13,0)),MATCH(ROW(orderHistory[customer]),ROW(orderHistory[customer])),""),ROWS($A$15:A32)+$B$3))),IF($D$13="",INDEX(orderHistory[customer],SMALL(IF(ISNUMBER(MATCH(orderHistory[status],$D$11,0)),MATCH(ROW(orderHistory[customer]),ROW(orderHistory[customer])),""),ROWS($A$15:A32)+$B$3)),INDEX(orderHistory[customer],SMALL(IF(ISNUMBER(MATCH(orderHistory[status],$D$11,0)*MATCH(orderHistory[order_type],$D$13,0)),MATCH(ROW(orderHistory[customer]),ROW(orderHistory[customer])),""),ROWS($A$15:A32)+$B$3)))),IF($D$11="",IF($D$13="",INDEX(orderHistory[customer],SMALL(IF(ISNUMBER(MATCH(orderHistory[customer],$D$9,0)),MATCH(ROW(orderHistory[customer]),ROW(orderHistory[customer])),""),ROWS($A$15:A32)+$B$3)),INDEX(orderHistory[customer],SMALL(IF(ISNUMBER(MATCH(orderHistory[customer],$D$9,0)*MATCH(orderHistory[order_type],$D$13,0)),MATCH(ROW(orderHistory[customer]),ROW(orderHistory[customer])),""),ROWS($A$15:A32)+$B$3))),IF($D$13="",INDEX(orderHistory[customer],SMALL(IF(ISNUMBER(MATCH(orderHistory[customer],$D$9,0)*MATCH(orderHistory[status],$D$11,0)),MATCH(ROW(orderHistory[customer]),ROW(orderHistory[customer])),""),ROWS($A$15:A32)+$B$3)),INDEX(orderHistory[customer],SMALL(IF(ISNUMBER(MATCH(orderHistory[customer],$D$9,0)*MATCH(orderHistory[status],$D$11,0)*MATCH(orderHistory[order_type],$D$13,0)),MATCH(ROW(orderHistory[customer]),ROW(orderHistory[customer])),""),ROWS($A$15:A32)+$B$3))))),"")</f>
        <v>LUXUM BEAUTY - ULM</v>
      </c>
      <c r="M27" s="391">
        <f t="array" ref="M27">IFERROR(IF($D$9="",IF($D$11="",IF($D$13="",INDEX(orderHistory[order_no],SMALL(MATCH(ROW(orderHistory[customer]),ROW(orderHistory[customer])),ROWS($A$15:A32)+$B$3)),INDEX(orderHistory[order_no],SMALL(IF(ISNUMBER(MATCH(orderHistory[order_type],$D$13,0)),MATCH(ROW(orderHistory[customer]),ROW(orderHistory[customer])),""),ROWS($A$15:A32)+$B$3))),IF($D$13="",INDEX(orderHistory[order_no],SMALL(IF(ISNUMBER(MATCH(orderHistory[status],$D$11,0)),MATCH(ROW(orderHistory[customer]),ROW(orderHistory[customer])),""),ROWS($A$15:A32)+$B$3)),INDEX(orderHistory[order_no],SMALL(IF(ISNUMBER(MATCH(orderHistory[status],$D$11,0)*MATCH(orderHistory[order_type],$D$13,0)),MATCH(ROW(orderHistory[customer]),ROW(orderHistory[customer])),""),ROWS($A$15:A32)+$B$3)))),IF($D$11="",IF($D$13="",INDEX(orderHistory[order_no],SMALL(IF(ISNUMBER(MATCH(orderHistory[customer],$D$9,0)),MATCH(ROW(orderHistory[customer]),ROW(orderHistory[customer])),""),ROWS($A$15:A32)+$B$3)),INDEX(orderHistory[order_no],SMALL(IF(ISNUMBER(MATCH(orderHistory[customer],$D$9,0)*MATCH(orderHistory[order_type],$D$13,0)),MATCH(ROW(orderHistory[customer]),ROW(orderHistory[customer])),""),ROWS($A$15:A32)+$B$3))),IF($D$13="",INDEX(orderHistory[order_no],SMALL(IF(ISNUMBER(MATCH(orderHistory[customer],$D$9,0)*MATCH(orderHistory[status],$D$11,0)),MATCH(ROW(orderHistory[customer]),ROW(orderHistory[customer])),""),ROWS($A$15:A32)+$B$3)),INDEX(orderHistory[order_no],SMALL(IF(ISNUMBER(MATCH(orderHistory[customer],$D$9,0)*MATCH(orderHistory[status],$D$11,0)*MATCH(orderHistory[order_type],$D$13,0)),MATCH(ROW(orderHistory[customer]),ROW(orderHistory[customer])),""),ROWS($A$15:A32)+$B$3))))),"")</f>
        <v>5</v>
      </c>
      <c r="N27" s="386" t="str">
        <f t="array" ref="N27">IFERROR(IF($D$9="",IF($D$11="",IF($D$13="",INDEX(orderHistory[order_type],SMALL(MATCH(ROW(orderHistory[customer]),ROW(orderHistory[customer])),ROWS($A$15:A32)+$B$3)),INDEX(orderHistory[order_type],SMALL(IF(ISNUMBER(MATCH(orderHistory[order_type],$D$13,0)),MATCH(ROW(orderHistory[customer]),ROW(orderHistory[customer])),""),ROWS($A$15:A32)+$B$3))),IF($D$13="",INDEX(orderHistory[order_type],SMALL(IF(ISNUMBER(MATCH(orderHistory[status],$D$11,0)),MATCH(ROW(orderHistory[customer]),ROW(orderHistory[customer])),""),ROWS($A$15:A32)+$B$3)),INDEX(orderHistory[order_type],SMALL(IF(ISNUMBER(MATCH(orderHistory[status],$D$11,0)*MATCH(orderHistory[order_type],$D$13,0)),MATCH(ROW(orderHistory[customer]),ROW(orderHistory[customer])),""),ROWS($A$15:A32)+$B$3)))),IF($D$11="",IF($D$13="",INDEX(orderHistory[order_type],SMALL(IF(ISNUMBER(MATCH(orderHistory[customer],$D$9,0)),MATCH(ROW(orderHistory[customer]),ROW(orderHistory[customer])),""),ROWS($A$15:A32)+$B$3)),INDEX(orderHistory[order_type],SMALL(IF(ISNUMBER(MATCH(orderHistory[customer],$D$9,0)*MATCH(orderHistory[order_type],$D$13,0)),MATCH(ROW(orderHistory[customer]),ROW(orderHistory[customer])),""),ROWS($A$15:A32)+$B$3))),IF($D$13="",INDEX(orderHistory[order_type],SMALL(IF(ISNUMBER(MATCH(orderHistory[customer],$D$9,0)*MATCH(orderHistory[status],$D$11,0)),MATCH(ROW(orderHistory[customer]),ROW(orderHistory[customer])),""),ROWS($A$15:A32)+$B$3)),INDEX(orderHistory[order_type],SMALL(IF(ISNUMBER(MATCH(orderHistory[customer],$D$9,0)*MATCH(orderHistory[status],$D$11,0)*MATCH(orderHistory[order_type],$D$13,0)),MATCH(ROW(orderHistory[customer]),ROW(orderHistory[customer])),""),ROWS($A$15:A32)+$B$3))))),"")</f>
        <v>SALE</v>
      </c>
      <c r="O27" s="275">
        <f t="array" ref="O27">IFERROR(IF($D$9="",IF($D$11="",IF($D$13="",INDEX(orderHistory[order_date],SMALL(MATCH(ROW(orderHistory[customer]),ROW(orderHistory[customer])),ROWS($A$15:A32)+$B$3)),INDEX(orderHistory[order_date],SMALL(IF(ISNUMBER(MATCH(orderHistory[order_type],$D$13,0)),MATCH(ROW(orderHistory[customer]),ROW(orderHistory[customer])),""),ROWS($A$15:A32)+$B$3))),IF($D$13="",INDEX(orderHistory[order_date],SMALL(IF(ISNUMBER(MATCH(orderHistory[status],$D$11,0)),MATCH(ROW(orderHistory[customer]),ROW(orderHistory[customer])),""),ROWS($A$15:A32)+$B$3)),INDEX(orderHistory[order_date],SMALL(IF(ISNUMBER(MATCH(orderHistory[status],$D$11,0)*MATCH(orderHistory[order_type],$D$13,0)),MATCH(ROW(orderHistory[customer]),ROW(orderHistory[customer])),""),ROWS($A$15:A32)+$B$3)))),IF($D$11="",IF($D$13="",INDEX(orderHistory[order_date],SMALL(IF(ISNUMBER(MATCH(orderHistory[customer],$D$9,0)),MATCH(ROW(orderHistory[customer]),ROW(orderHistory[customer])),""),ROWS($A$15:A32)+$B$3)),INDEX(orderHistory[order_date],SMALL(IF(ISNUMBER(MATCH(orderHistory[customer],$D$9,0)*MATCH(orderHistory[order_type],$D$13,0)),MATCH(ROW(orderHistory[customer]),ROW(orderHistory[customer])),""),ROWS($A$15:A32)+$B$3))),IF($D$13="",INDEX(orderHistory[order_date],SMALL(IF(ISNUMBER(MATCH(orderHistory[customer],$D$9,0)*MATCH(orderHistory[status],$D$11,0)),MATCH(ROW(orderHistory[customer]),ROW(orderHistory[customer])),""),ROWS($A$15:A32)+$B$3)),INDEX(orderHistory[order_date],SMALL(IF(ISNUMBER(MATCH(orderHistory[customer],$D$9,0)*MATCH(orderHistory[status],$D$11,0)*MATCH(orderHistory[order_type],$D$13,0)),MATCH(ROW(orderHistory[customer]),ROW(orderHistory[customer])),""),ROWS($A$15:A32)+$B$3))))),"")</f>
        <v>45335</v>
      </c>
      <c r="P27" s="379">
        <f t="array" ref="P27">IF(IFERROR(IF($D$9="",IF($D$11="",IF($D$13="",INDEX(orderHistory[invoice_no],SMALL(MATCH(ROW(orderHistory[customer]),ROW(orderHistory[customer])),ROWS($A$15:A32)+$B$3)),INDEX(orderHistory[invoice_no],SMALL(IF(ISNUMBER(MATCH(orderHistory[order_type],$D$13,0)),MATCH(ROW(orderHistory[customer]),ROW(orderHistory[customer])),""),ROWS($A$15:A32)+$B$3))),IF($D$13="",INDEX(orderHistory[invoice_no],SMALL(IF(ISNUMBER(MATCH(orderHistory[status],$D$11,0)),MATCH(ROW(orderHistory[customer]),ROW(orderHistory[customer])),""),ROWS($A$15:A32)+$B$3)),INDEX(orderHistory[invoice_no],SMALL(IF(ISNUMBER(MATCH(orderHistory[status],$D$11,0)*MATCH(orderHistory[order_type],$D$13,0)),MATCH(ROW(orderHistory[customer]),ROW(orderHistory[customer])),""),ROWS($A$15:A32)+$B$3)))),IF($D$11="",IF($D$13="",INDEX(orderHistory[invoice_no],SMALL(IF(ISNUMBER(MATCH(orderHistory[customer],$D$9,0)),MATCH(ROW(orderHistory[customer]),ROW(orderHistory[customer])),""),ROWS($A$15:A32)+$B$3)),INDEX(orderHistory[invoice_no],SMALL(IF(ISNUMBER(MATCH(orderHistory[customer],$D$9,0)*MATCH(orderHistory[order_type],$D$13,0)),MATCH(ROW(orderHistory[customer]),ROW(orderHistory[customer])),""),ROWS($A$15:A32)+$B$3))),IF($D$13="",INDEX(orderHistory[invoice_no],SMALL(IF(ISNUMBER(MATCH(orderHistory[customer],$D$9,0)*MATCH(orderHistory[status],$D$11,0)),MATCH(ROW(orderHistory[customer]),ROW(orderHistory[customer])),""),ROWS($A$15:A32)+$B$3)),INDEX(orderHistory[invoice_no],SMALL(IF(ISNUMBER(MATCH(orderHistory[customer],$D$9,0)*MATCH(orderHistory[status],$D$11,0)*MATCH(orderHistory[order_type],$D$13,0)),MATCH(ROW(orderHistory[customer]),ROW(orderHistory[customer])),""),ROWS($A$15:A32)+$B$3))))),"")=0,"",IFERROR(IF($D$9="",IF($D$11="",IF($D$13="",INDEX(orderHistory[invoice_no],SMALL(MATCH(ROW(orderHistory[customer]),ROW(orderHistory[customer])),ROWS($A$15:A32)+$B$3)),INDEX(orderHistory[invoice_no],SMALL(IF(ISNUMBER(MATCH(orderHistory[order_type],$D$13,0)),MATCH(ROW(orderHistory[customer]),ROW(orderHistory[customer])),""),ROWS($A$15:A32)+$B$3))),IF($D$13="",INDEX(orderHistory[invoice_no],SMALL(IF(ISNUMBER(MATCH(orderHistory[status],$D$11,0)),MATCH(ROW(orderHistory[customer]),ROW(orderHistory[customer])),""),ROWS($A$15:A32)+$B$3)),INDEX(orderHistory[invoice_no],SMALL(IF(ISNUMBER(MATCH(orderHistory[status],$D$11,0)*MATCH(orderHistory[order_type],$D$13,0)),MATCH(ROW(orderHistory[customer]),ROW(orderHistory[customer])),""),ROWS($A$15:A32)+$B$3)))),IF($D$11="",IF($D$13="",INDEX(orderHistory[invoice_no],SMALL(IF(ISNUMBER(MATCH(orderHistory[customer],$D$9,0)),MATCH(ROW(orderHistory[customer]),ROW(orderHistory[customer])),""),ROWS($A$15:A32)+$B$3)),INDEX(orderHistory[invoice_no],SMALL(IF(ISNUMBER(MATCH(orderHistory[customer],$D$9,0)*MATCH(orderHistory[order_type],$D$13,0)),MATCH(ROW(orderHistory[customer]),ROW(orderHistory[customer])),""),ROWS($A$15:A32)+$B$3))),IF($D$13="",INDEX(orderHistory[invoice_no],SMALL(IF(ISNUMBER(MATCH(orderHistory[customer],$D$9,0)*MATCH(orderHistory[status],$D$11,0)),MATCH(ROW(orderHistory[customer]),ROW(orderHistory[customer])),""),ROWS($A$15:A32)+$B$3)),INDEX(orderHistory[invoice_no],SMALL(IF(ISNUMBER(MATCH(orderHistory[customer],$D$9,0)*MATCH(orderHistory[status],$D$11,0)*MATCH(orderHistory[order_type],$D$13,0)),MATCH(ROW(orderHistory[customer]),ROW(orderHistory[customer])),""),ROWS($A$15:A32)+$B$3))))),""))</f>
        <v>41</v>
      </c>
      <c r="Q27" s="381">
        <f t="array" ref="Q27">IF(IFERROR(IF($D$9="",IF($D$11="",IF($D$13="",INDEX(orderHistory[invoice_date],SMALL(MATCH(ROW(orderHistory[customer]),ROW(orderHistory[customer])),ROWS($A$15:A32)+$B$3)),INDEX(orderHistory[invoice_date],SMALL(IF(ISNUMBER(MATCH(orderHistory[order_type],$D$13,0)),MATCH(ROW(orderHistory[customer]),ROW(orderHistory[customer])),""),ROWS($A$15:A32)+$B$3))),IF($D$13="",INDEX(orderHistory[invoice_date],SMALL(IF(ISNUMBER(MATCH(orderHistory[status],$D$11,0)),MATCH(ROW(orderHistory[customer]),ROW(orderHistory[customer])),""),ROWS($A$15:A32)+$B$3)),INDEX(orderHistory[invoice_date],SMALL(IF(ISNUMBER(MATCH(orderHistory[status],$D$11,0)*MATCH(orderHistory[order_type],$D$13,0)),MATCH(ROW(orderHistory[customer]),ROW(orderHistory[customer])),""),ROWS($A$15:A32)+$B$3)))),IF($D$11="",IF($D$13="",INDEX(orderHistory[invoice_date],SMALL(IF(ISNUMBER(MATCH(orderHistory[customer],$D$9,0)),MATCH(ROW(orderHistory[customer]),ROW(orderHistory[customer])),""),ROWS($A$15:A32)+$B$3)),INDEX(orderHistory[invoice_date],SMALL(IF(ISNUMBER(MATCH(orderHistory[customer],$D$9,0)*MATCH(orderHistory[order_type],$D$13,0)),MATCH(ROW(orderHistory[customer]),ROW(orderHistory[customer])),""),ROWS($A$15:A32)+$B$3))),IF($D$13="",INDEX(orderHistory[invoice_date],SMALL(IF(ISNUMBER(MATCH(orderHistory[customer],$D$9,0)*MATCH(orderHistory[status],$D$11,0)),MATCH(ROW(orderHistory[customer]),ROW(orderHistory[customer])),""),ROWS($A$15:A32)+$B$3)),INDEX(orderHistory[invoice_date],SMALL(IF(ISNUMBER(MATCH(orderHistory[customer],$D$9,0)*MATCH(orderHistory[status],$D$11,0)*MATCH(orderHistory[order_type],$D$13,0)),MATCH(ROW(orderHistory[customer]),ROW(orderHistory[customer])),""),ROWS($A$15:A32)+$B$3))))),"")=0,"",IFERROR(IF($D$9="",IF($D$11="",IF($D$13="",INDEX(orderHistory[invoice_date],SMALL(MATCH(ROW(orderHistory[customer]),ROW(orderHistory[customer])),ROWS($A$15:A32)+$B$3)),INDEX(orderHistory[invoice_date],SMALL(IF(ISNUMBER(MATCH(orderHistory[order_type],$D$13,0)),MATCH(ROW(orderHistory[customer]),ROW(orderHistory[customer])),""),ROWS($A$15:A32)+$B$3))),IF($D$13="",INDEX(orderHistory[invoice_date],SMALL(IF(ISNUMBER(MATCH(orderHistory[status],$D$11,0)),MATCH(ROW(orderHistory[customer]),ROW(orderHistory[customer])),""),ROWS($A$15:A32)+$B$3)),INDEX(orderHistory[invoice_date],SMALL(IF(ISNUMBER(MATCH(orderHistory[status],$D$11,0)*MATCH(orderHistory[order_type],$D$13,0)),MATCH(ROW(orderHistory[customer]),ROW(orderHistory[customer])),""),ROWS($A$15:A32)+$B$3)))),IF($D$11="",IF($D$13="",INDEX(orderHistory[invoice_date],SMALL(IF(ISNUMBER(MATCH(orderHistory[customer],$D$9,0)),MATCH(ROW(orderHistory[customer]),ROW(orderHistory[customer])),""),ROWS($A$15:A32)+$B$3)),INDEX(orderHistory[invoice_date],SMALL(IF(ISNUMBER(MATCH(orderHistory[customer],$D$9,0)*MATCH(orderHistory[order_type],$D$13,0)),MATCH(ROW(orderHistory[customer]),ROW(orderHistory[customer])),""),ROWS($A$15:A32)+$B$3))),IF($D$13="",INDEX(orderHistory[invoice_date],SMALL(IF(ISNUMBER(MATCH(orderHistory[customer],$D$9,0)*MATCH(orderHistory[status],$D$11,0)),MATCH(ROW(orderHistory[customer]),ROW(orderHistory[customer])),""),ROWS($A$15:A32)+$B$3)),INDEX(orderHistory[invoice_date],SMALL(IF(ISNUMBER(MATCH(orderHistory[customer],$D$9,0)*MATCH(orderHistory[status],$D$11,0)*MATCH(orderHistory[order_type],$D$13,0)),MATCH(ROW(orderHistory[customer]),ROW(orderHistory[customer])),""),ROWS($A$15:A32)+$B$3))))),""))</f>
        <v>45335</v>
      </c>
      <c r="R27" s="377">
        <f t="array" ref="R27">IFERROR(IF($D$9="",IF($D$11="",IF($D$13="",INDEX(orderHistory[inv_amount],SMALL(MATCH(ROW(orderHistory[customer]),ROW(orderHistory[customer])),ROWS($A$15:A32)+$B$3)),INDEX(orderHistory[inv_amount],SMALL(IF(ISNUMBER(MATCH(orderHistory[order_type],$D$13,0)),MATCH(ROW(orderHistory[customer]),ROW(orderHistory[customer])),""),ROWS($A$15:A32)+$B$3))),IF($D$13="",INDEX(orderHistory[inv_amount],SMALL(IF(ISNUMBER(MATCH(orderHistory[status],$D$11,0)),MATCH(ROW(orderHistory[customer]),ROW(orderHistory[customer])),""),ROWS($A$15:A32)+$B$3)),INDEX(orderHistory[inv_amount],SMALL(IF(ISNUMBER(MATCH(orderHistory[status],$D$11,0)*MATCH(orderHistory[order_type],$D$13,0)),MATCH(ROW(orderHistory[customer]),ROW(orderHistory[customer])),""),ROWS($A$15:A32)+$B$3)))),IF($D$11="",IF($D$13="",INDEX(orderHistory[inv_amount],SMALL(IF(ISNUMBER(MATCH(orderHistory[customer],$D$9,0)),MATCH(ROW(orderHistory[customer]),ROW(orderHistory[customer])),""),ROWS($A$15:A32)+$B$3)),INDEX(orderHistory[inv_amount],SMALL(IF(ISNUMBER(MATCH(orderHistory[customer],$D$9,0)*MATCH(orderHistory[order_type],$D$13,0)),MATCH(ROW(orderHistory[customer]),ROW(orderHistory[customer])),""),ROWS($A$15:A32)+$B$3))),IF($D$13="",INDEX(orderHistory[inv_amount],SMALL(IF(ISNUMBER(MATCH(orderHistory[customer],$D$9,0)*MATCH(orderHistory[status],$D$11,0)),MATCH(ROW(orderHistory[customer]),ROW(orderHistory[customer])),""),ROWS($A$15:A32)+$B$3)),INDEX(orderHistory[inv_amount],SMALL(IF(ISNUMBER(MATCH(orderHistory[customer],$D$9,0)*MATCH(orderHistory[status],$D$11,0)*MATCH(orderHistory[order_type],$D$13,0)),MATCH(ROW(orderHistory[customer]),ROW(orderHistory[customer])),""),ROWS($A$15:A32)+$B$3))))),"")</f>
        <v>79200</v>
      </c>
      <c r="S27" s="383">
        <f t="shared" si="0"/>
        <v>5544.0000000000009</v>
      </c>
      <c r="T27" s="385" t="b">
        <f t="array" ref="T27">IFERROR(IF($D$9="",IF($D$11="",IF($D$13="",INDEX(orderHistory[payed],SMALL(MATCH(ROW(orderHistory[customer]),ROW(orderHistory[customer])),ROWS($A$15:A32)+$B$3)),INDEX(orderHistory[payed],SMALL(IF(ISNUMBER(MATCH(orderHistory[order_type],$D$13,0)),MATCH(ROW(orderHistory[customer]),ROW(orderHistory[customer])),""),ROWS($A$15:A32)+$B$3))),IF($D$13="",INDEX(orderHistory[payed],SMALL(IF(ISNUMBER(MATCH(orderHistory[status],$D$11,0)),MATCH(ROW(orderHistory[customer]),ROW(orderHistory[customer])),""),ROWS($A$15:A32)+$B$3)),INDEX(orderHistory[payed],SMALL(IF(ISNUMBER(MATCH(orderHistory[status],$D$11,0)*MATCH(orderHistory[order_type],$D$13,0)),MATCH(ROW(orderHistory[customer]),ROW(orderHistory[customer])),""),ROWS($A$15:A32)+$B$3)))),IF($D$11="",IF($D$13="",INDEX(orderHistory[payed],SMALL(IF(ISNUMBER(MATCH(orderHistory[customer],$D$9,0)),MATCH(ROW(orderHistory[customer]),ROW(orderHistory[customer])),""),ROWS($A$15:A32)+$B$3)),INDEX(orderHistory[payed],SMALL(IF(ISNUMBER(MATCH(orderHistory[customer],$D$9,0)*MATCH(orderHistory[order_type],$D$13,0)),MATCH(ROW(orderHistory[customer]),ROW(orderHistory[customer])),""),ROWS($A$15:A32)+$B$3))),IF($D$13="",INDEX(orderHistory[payed],SMALL(IF(ISNUMBER(MATCH(orderHistory[customer],$D$9,0)*MATCH(orderHistory[status],$D$11,0)),MATCH(ROW(orderHistory[customer]),ROW(orderHistory[customer])),""),ROWS($A$15:A32)+$B$3)),INDEX(orderHistory[payed],SMALL(IF(ISNUMBER(MATCH(orderHistory[customer],$D$9,0)*MATCH(orderHistory[status],$D$11,0)*MATCH(orderHistory[order_type],$D$13,0)),MATCH(ROW(orderHistory[customer]),ROW(orderHistory[customer])),""),ROWS($A$15:A32)+$B$3))))),"")</f>
        <v>1</v>
      </c>
      <c r="U27" s="386" t="str">
        <f t="array" ref="U27">IFERROR(IF($D$9="",IF($D$11="",IF($D$13="",INDEX(orderHistory[shipping_method],SMALL(MATCH(ROW(orderHistory[customer]),ROW(orderHistory[customer])),ROWS($A$15:A32)+$B$3)),INDEX(orderHistory[shipping_method],SMALL(IF(ISNUMBER(MATCH(orderHistory[order_type],$D$13,0)),MATCH(ROW(orderHistory[customer]),ROW(orderHistory[customer])),""),ROWS($A$15:A32)+$B$3))),IF($D$13="",INDEX(orderHistory[shipping_method],SMALL(IF(ISNUMBER(MATCH(orderHistory[status],$D$11,0)),MATCH(ROW(orderHistory[customer]),ROW(orderHistory[customer])),""),ROWS($A$15:A32)+$B$3)),INDEX(orderHistory[shipping_method],SMALL(IF(ISNUMBER(MATCH(orderHistory[status],$D$11,0)*MATCH(orderHistory[order_type],$D$13,0)),MATCH(ROW(orderHistory[customer]),ROW(orderHistory[customer])),""),ROWS($A$15:A32)+$B$3)))),IF($D$11="",IF($D$13="",INDEX(orderHistory[shipping_method],SMALL(IF(ISNUMBER(MATCH(orderHistory[customer],$D$9,0)),MATCH(ROW(orderHistory[customer]),ROW(orderHistory[customer])),""),ROWS($A$15:A32)+$B$3)),INDEX(orderHistory[shipping_method],SMALL(IF(ISNUMBER(MATCH(orderHistory[customer],$D$9,0)*MATCH(orderHistory[order_type],$D$13,0)),MATCH(ROW(orderHistory[customer]),ROW(orderHistory[customer])),""),ROWS($A$15:A32)+$B$3))),IF($D$13="",INDEX(orderHistory[shipping_method],SMALL(IF(ISNUMBER(MATCH(orderHistory[customer],$D$9,0)*MATCH(orderHistory[status],$D$11,0)),MATCH(ROW(orderHistory[customer]),ROW(orderHistory[customer])),""),ROWS($A$15:A32)+$B$3)),INDEX(orderHistory[shipping_method],SMALL(IF(ISNUMBER(MATCH(orderHistory[customer],$D$9,0)*MATCH(orderHistory[status],$D$11,0)*MATCH(orderHistory[order_type],$D$13,0)),MATCH(ROW(orderHistory[customer]),ROW(orderHistory[customer])),""),ROWS($A$15:A32)+$B$3))))),"")</f>
        <v>BY ROAD</v>
      </c>
      <c r="V27" s="387" t="str">
        <f t="array" ref="V27">IFERROR(IF($D$9="",IF($D$11="",IF($D$13="",INDEX(orderHistory[status],SMALL(MATCH(ROW(orderHistory[customer]),ROW(orderHistory[customer])),ROWS($A$15:A32)+$B$3)),INDEX(orderHistory[status],SMALL(IF(ISNUMBER(MATCH(orderHistory[order_type],$D$13,0)),MATCH(ROW(orderHistory[customer]),ROW(orderHistory[customer])),""),ROWS($A$15:A32)+$B$3))),IF($D$13="",INDEX(orderHistory[status],SMALL(IF(ISNUMBER(MATCH(orderHistory[status],$D$11,0)),MATCH(ROW(orderHistory[customer]),ROW(orderHistory[customer])),""),ROWS($A$15:A32)+$B$3)),INDEX(orderHistory[status],SMALL(IF(ISNUMBER(MATCH(orderHistory[status],$D$11,0)*MATCH(orderHistory[order_type],$D$13,0)),MATCH(ROW(orderHistory[customer]),ROW(orderHistory[customer])),""),ROWS($A$15:A32)+$B$3)))),IF($D$11="",IF($D$13="",INDEX(orderHistory[status],SMALL(IF(ISNUMBER(MATCH(orderHistory[customer],$D$9,0)),MATCH(ROW(orderHistory[customer]),ROW(orderHistory[customer])),""),ROWS($A$15:A32)+$B$3)),INDEX(orderHistory[status],SMALL(IF(ISNUMBER(MATCH(orderHistory[customer],$D$9,0)*MATCH(orderHistory[order_type],$D$13,0)),MATCH(ROW(orderHistory[customer]),ROW(orderHistory[customer])),""),ROWS($A$15:A32)+$B$3))),IF($D$13="",INDEX(orderHistory[status],SMALL(IF(ISNUMBER(MATCH(orderHistory[customer],$D$9,0)*MATCH(orderHistory[status],$D$11,0)),MATCH(ROW(orderHistory[customer]),ROW(orderHistory[customer])),""),ROWS($A$15:A32)+$B$3)),INDEX(orderHistory[status],SMALL(IF(ISNUMBER(MATCH(orderHistory[customer],$D$9,0)*MATCH(orderHistory[status],$D$11,0)*MATCH(orderHistory[order_type],$D$13,0)),MATCH(ROW(orderHistory[customer]),ROW(orderHistory[customer])),""),ROWS($A$15:A32)+$B$3))))),"")</f>
        <v>SHIPPED</v>
      </c>
      <c r="W27" s="111"/>
      <c r="AQ27" s="125" t="s">
        <v>723</v>
      </c>
      <c r="AR27" s="404">
        <v>30</v>
      </c>
      <c r="AS27" s="371"/>
      <c r="AT27" s="372"/>
      <c r="AU27" s="133"/>
      <c r="AV27" s="112"/>
      <c r="AW27" s="131"/>
      <c r="AX27" s="913" t="s">
        <v>1258</v>
      </c>
      <c r="AY27" s="914"/>
      <c r="AZ27" s="120"/>
      <c r="BA27" s="120"/>
      <c r="BB27" s="947" t="str">
        <f>IF(INDEX(clientData[notes], MATCH($AO$9, clientData[cod_cliente], 0))=0,"",INDEX(clientData[notes], MATCH($AO$9, clientData[cod_cliente], 0)))</f>
        <v>Max height 120cm</v>
      </c>
      <c r="BC27" s="948"/>
      <c r="BD27" s="948"/>
      <c r="BE27" s="948"/>
      <c r="BF27" s="948"/>
      <c r="BG27" s="948"/>
      <c r="BH27" s="949"/>
      <c r="BI27" s="291"/>
      <c r="BJ27" s="121"/>
      <c r="BK27" s="146"/>
      <c r="BL27" s="147"/>
      <c r="BM27" s="148"/>
      <c r="BN27" s="147"/>
      <c r="BO27" s="148"/>
      <c r="BZ27" s="295"/>
      <c r="CA27" s="270" t="str">
        <f>IF(BZ27="","",VLOOKUP(BZ27,bhpc_data[],7,FALSE))</f>
        <v/>
      </c>
      <c r="CB27" s="296"/>
      <c r="CC27" s="642"/>
      <c r="CD27" s="297"/>
      <c r="CE27" s="645"/>
      <c r="CF27" s="298"/>
      <c r="CG27" s="301" t="str">
        <f>IFERROR(ROUNDUP(CB27/VLOOKUP(BZ27,bhpc_data[],9,FALSE),0)+ROUNDUP(CD27/VLOOKUP(BZ27,bhpc_data[],9,FALSE),0),"")</f>
        <v/>
      </c>
      <c r="CH27" s="302" t="str">
        <f>IFERROR(ROUNDUP(CD27/VLOOKUP(BZ27,bhpc_data[],9,FALSE),0),"")</f>
        <v/>
      </c>
      <c r="CI27" s="302" t="str">
        <f>IFERROR(ROUNDUP(CF27/VLOOKUP(BZ27,bhpc_data[],9,FALSE),0),"")</f>
        <v/>
      </c>
      <c r="CJ27" s="302" t="str">
        <f>IFERROR(((CB27+CD27+CF27)/VLOOKUP(BZ27,bhpc_data[],9,FALSE))*VLOOKUP(BZ27,bhpc_data[],17,FALSE),"")</f>
        <v/>
      </c>
      <c r="CK27" s="302" t="str">
        <f>IFERROR(((CB27+CD27+CF27)/VLOOKUP(BZ27,bhpc_data[],9,FALSE))*VLOOKUP(BZ27,bhpc_data[],18,FALSE),"")</f>
        <v/>
      </c>
      <c r="CL27" s="346" t="str">
        <f>IFERROR((CB27+CD27)/VLOOKUP(BZ27,bhpc_data[],9,FALSE)*VLOOKUP(BZ27,bhpc_data[],14,FALSE)*VLOOKUP(BZ27,bhpc_data[],15,FALSE)*VLOOKUP(BZ27,bhpc_data[],16,FALSE)/1000000000,"")</f>
        <v/>
      </c>
      <c r="CM27" s="409" t="str">
        <f>IFERROR(VLOOKUP(BZ27,bhpc_data[],2,FALSE),"")</f>
        <v/>
      </c>
      <c r="CN27" s="409" t="str">
        <f>IFERROR(VLOOKUP(BZ27,bhpc_data[],19,FALSE),"")</f>
        <v/>
      </c>
      <c r="CO27" s="653" t="str">
        <f>IFERROR(VLOOKUP(BZ27,bhpc_data[],6,FALSE),"")</f>
        <v/>
      </c>
      <c r="CP27" s="654" t="str">
        <f>IFERROR(VLOOKUP(BZ27,inventory[],4,FALSE),"")</f>
        <v/>
      </c>
      <c r="CQ27" s="651" t="str">
        <f>IFERROR(IF(BZ27="","",IF($BX$15="SALE",VLOOKUP(BZ27,inventory[],5,FALSE),IF($BX$15="SAMPLING",VLOOKUP(BZ27,inventory[],5,FALSE),""))),"")</f>
        <v/>
      </c>
      <c r="CR27" s="652" t="str">
        <f>IFERROR(IF(BZ27="","",(CB27+CD27+CF27)*CQ27),"")</f>
        <v/>
      </c>
      <c r="CS27" s="557" t="str">
        <f>IF(BZ27="","",CB27*CC27+CD27*CE27)</f>
        <v/>
      </c>
      <c r="CU27" s="71" t="s">
        <v>1245</v>
      </c>
      <c r="DA27" s="540" t="str">
        <f>IFERROR(VLOOKUP(BZ27,bhpc_data[],22,FALSE),"")</f>
        <v/>
      </c>
      <c r="DF27" s="131"/>
      <c r="DG27" s="120"/>
      <c r="DH27" s="162"/>
      <c r="DI27" s="120"/>
      <c r="DJ27" s="289"/>
      <c r="DK27" s="288"/>
      <c r="DL27" s="288"/>
      <c r="DM27" s="288"/>
      <c r="DN27" s="288"/>
      <c r="DO27" s="288"/>
      <c r="DP27" s="288"/>
      <c r="DQ27" s="288"/>
      <c r="DR27" s="288"/>
      <c r="DS27" s="288"/>
      <c r="DT27" s="288"/>
      <c r="DU27" s="290"/>
      <c r="DV27" s="121"/>
      <c r="EE27" s="453" t="s">
        <v>78</v>
      </c>
      <c r="EF27" s="447" t="str">
        <f>VLOOKUP(EE27,bhpc_data[],7,FALSE)</f>
        <v>BHPC SPORT MEN 9 EDT 50ML</v>
      </c>
      <c r="EG27" s="555">
        <f>IFERROR(VLOOKUP(EE27,inventory[],4,FALSE),0)</f>
        <v>0</v>
      </c>
      <c r="EH27" s="555">
        <f>IFERROR(VLOOKUP(warehouse[[#This Row],[SKU]],$EQ$10:$ES$38,3,FALSE),0)</f>
        <v>4608</v>
      </c>
      <c r="EI27" s="555">
        <f>IFERROR(VLOOKUP(warehouse[[#This Row],[SKU]],$EM$10:$EO$61,3,FALSE),0)</f>
        <v>0</v>
      </c>
      <c r="EJ27" s="555">
        <f>warehouse[[#This Row],[T-1]]+warehouse[[#This Row],[SUPPLY]]-warehouse[[#This Row],[SALE + SAMPLING]]</f>
        <v>4608</v>
      </c>
      <c r="EM27" s="74" t="s">
        <v>65</v>
      </c>
      <c r="EN27" s="74" t="s">
        <v>66</v>
      </c>
      <c r="EO27" s="431">
        <v>1</v>
      </c>
      <c r="EQ27" s="74" t="s">
        <v>903</v>
      </c>
      <c r="ER27" s="74" t="s">
        <v>1127</v>
      </c>
      <c r="ES27" s="446">
        <v>5016</v>
      </c>
    </row>
    <row r="28" spans="1:149" ht="15" customHeight="1" thickBot="1">
      <c r="D28" s="676" t="str">
        <f>VLOOKUP(VLOOKUP($B$4,orderHistory[],15,FALSE),carriers[],4,FALSE)</f>
        <v>16010 SERRA RICCO' (GE)</v>
      </c>
      <c r="F28" s="159"/>
      <c r="G28" s="923" t="str">
        <f>IFERROR(INDEX(clientData[logistic_address3],MATCH($B$6,clientData[cod_cliente],0)),"")</f>
        <v>46240 VALENCIA, SPAIN</v>
      </c>
      <c r="H28" s="924"/>
      <c r="I28" s="925"/>
      <c r="J28" s="121"/>
      <c r="L28" s="274" t="str">
        <f t="array" ref="L28">IFERROR(IF($D$9="",IF($D$11="",IF($D$13="",INDEX(orderHistory[customer],SMALL(MATCH(ROW(orderHistory[customer]),ROW(orderHistory[customer])),ROWS($A$15:A33)+$B$3)),INDEX(orderHistory[customer],SMALL(IF(ISNUMBER(MATCH(orderHistory[order_type],$D$13,0)),MATCH(ROW(orderHistory[customer]),ROW(orderHistory[customer])),""),ROWS($A$15:A33)+$B$3))),IF($D$13="",INDEX(orderHistory[customer],SMALL(IF(ISNUMBER(MATCH(orderHistory[status],$D$11,0)),MATCH(ROW(orderHistory[customer]),ROW(orderHistory[customer])),""),ROWS($A$15:A33)+$B$3)),INDEX(orderHistory[customer],SMALL(IF(ISNUMBER(MATCH(orderHistory[status],$D$11,0)*MATCH(orderHistory[order_type],$D$13,0)),MATCH(ROW(orderHistory[customer]),ROW(orderHistory[customer])),""),ROWS($A$15:A33)+$B$3)))),IF($D$11="",IF($D$13="",INDEX(orderHistory[customer],SMALL(IF(ISNUMBER(MATCH(orderHistory[customer],$D$9,0)),MATCH(ROW(orderHistory[customer]),ROW(orderHistory[customer])),""),ROWS($A$15:A33)+$B$3)),INDEX(orderHistory[customer],SMALL(IF(ISNUMBER(MATCH(orderHistory[customer],$D$9,0)*MATCH(orderHistory[order_type],$D$13,0)),MATCH(ROW(orderHistory[customer]),ROW(orderHistory[customer])),""),ROWS($A$15:A33)+$B$3))),IF($D$13="",INDEX(orderHistory[customer],SMALL(IF(ISNUMBER(MATCH(orderHistory[customer],$D$9,0)*MATCH(orderHistory[status],$D$11,0)),MATCH(ROW(orderHistory[customer]),ROW(orderHistory[customer])),""),ROWS($A$15:A33)+$B$3)),INDEX(orderHistory[customer],SMALL(IF(ISNUMBER(MATCH(orderHistory[customer],$D$9,0)*MATCH(orderHistory[status],$D$11,0)*MATCH(orderHistory[order_type],$D$13,0)),MATCH(ROW(orderHistory[customer]),ROW(orderHistory[customer])),""),ROWS($A$15:A33)+$B$3))))),"")</f>
        <v>DRUNI</v>
      </c>
      <c r="M28" s="391">
        <f t="array" ref="M28">IFERROR(IF($D$9="",IF($D$11="",IF($D$13="",INDEX(orderHistory[order_no],SMALL(MATCH(ROW(orderHistory[customer]),ROW(orderHistory[customer])),ROWS($A$15:A33)+$B$3)),INDEX(orderHistory[order_no],SMALL(IF(ISNUMBER(MATCH(orderHistory[order_type],$D$13,0)),MATCH(ROW(orderHistory[customer]),ROW(orderHistory[customer])),""),ROWS($A$15:A33)+$B$3))),IF($D$13="",INDEX(orderHistory[order_no],SMALL(IF(ISNUMBER(MATCH(orderHistory[status],$D$11,0)),MATCH(ROW(orderHistory[customer]),ROW(orderHistory[customer])),""),ROWS($A$15:A33)+$B$3)),INDEX(orderHistory[order_no],SMALL(IF(ISNUMBER(MATCH(orderHistory[status],$D$11,0)*MATCH(orderHistory[order_type],$D$13,0)),MATCH(ROW(orderHistory[customer]),ROW(orderHistory[customer])),""),ROWS($A$15:A33)+$B$3)))),IF($D$11="",IF($D$13="",INDEX(orderHistory[order_no],SMALL(IF(ISNUMBER(MATCH(orderHistory[customer],$D$9,0)),MATCH(ROW(orderHistory[customer]),ROW(orderHistory[customer])),""),ROWS($A$15:A33)+$B$3)),INDEX(orderHistory[order_no],SMALL(IF(ISNUMBER(MATCH(orderHistory[customer],$D$9,0)*MATCH(orderHistory[order_type],$D$13,0)),MATCH(ROW(orderHistory[customer]),ROW(orderHistory[customer])),""),ROWS($A$15:A33)+$B$3))),IF($D$13="",INDEX(orderHistory[order_no],SMALL(IF(ISNUMBER(MATCH(orderHistory[customer],$D$9,0)*MATCH(orderHistory[status],$D$11,0)),MATCH(ROW(orderHistory[customer]),ROW(orderHistory[customer])),""),ROWS($A$15:A33)+$B$3)),INDEX(orderHistory[order_no],SMALL(IF(ISNUMBER(MATCH(orderHistory[customer],$D$9,0)*MATCH(orderHistory[status],$D$11,0)*MATCH(orderHistory[order_type],$D$13,0)),MATCH(ROW(orderHistory[customer]),ROW(orderHistory[customer])),""),ROWS($A$15:A33)+$B$3))))),"")</f>
        <v>4</v>
      </c>
      <c r="N28" s="386" t="str">
        <f t="array" ref="N28">IFERROR(IF($D$9="",IF($D$11="",IF($D$13="",INDEX(orderHistory[order_type],SMALL(MATCH(ROW(orderHistory[customer]),ROW(orderHistory[customer])),ROWS($A$15:A33)+$B$3)),INDEX(orderHistory[order_type],SMALL(IF(ISNUMBER(MATCH(orderHistory[order_type],$D$13,0)),MATCH(ROW(orderHistory[customer]),ROW(orderHistory[customer])),""),ROWS($A$15:A33)+$B$3))),IF($D$13="",INDEX(orderHistory[order_type],SMALL(IF(ISNUMBER(MATCH(orderHistory[status],$D$11,0)),MATCH(ROW(orderHistory[customer]),ROW(orderHistory[customer])),""),ROWS($A$15:A33)+$B$3)),INDEX(orderHistory[order_type],SMALL(IF(ISNUMBER(MATCH(orderHistory[status],$D$11,0)*MATCH(orderHistory[order_type],$D$13,0)),MATCH(ROW(orderHistory[customer]),ROW(orderHistory[customer])),""),ROWS($A$15:A33)+$B$3)))),IF($D$11="",IF($D$13="",INDEX(orderHistory[order_type],SMALL(IF(ISNUMBER(MATCH(orderHistory[customer],$D$9,0)),MATCH(ROW(orderHistory[customer]),ROW(orderHistory[customer])),""),ROWS($A$15:A33)+$B$3)),INDEX(orderHistory[order_type],SMALL(IF(ISNUMBER(MATCH(orderHistory[customer],$D$9,0)*MATCH(orderHistory[order_type],$D$13,0)),MATCH(ROW(orderHistory[customer]),ROW(orderHistory[customer])),""),ROWS($A$15:A33)+$B$3))),IF($D$13="",INDEX(orderHistory[order_type],SMALL(IF(ISNUMBER(MATCH(orderHistory[customer],$D$9,0)*MATCH(orderHistory[status],$D$11,0)),MATCH(ROW(orderHistory[customer]),ROW(orderHistory[customer])),""),ROWS($A$15:A33)+$B$3)),INDEX(orderHistory[order_type],SMALL(IF(ISNUMBER(MATCH(orderHistory[customer],$D$9,0)*MATCH(orderHistory[status],$D$11,0)*MATCH(orderHistory[order_type],$D$13,0)),MATCH(ROW(orderHistory[customer]),ROW(orderHistory[customer])),""),ROWS($A$15:A33)+$B$3))))),"")</f>
        <v>SALE</v>
      </c>
      <c r="O28" s="275">
        <f t="array" ref="O28">IFERROR(IF($D$9="",IF($D$11="",IF($D$13="",INDEX(orderHistory[order_date],SMALL(MATCH(ROW(orderHistory[customer]),ROW(orderHistory[customer])),ROWS($A$15:A33)+$B$3)),INDEX(orderHistory[order_date],SMALL(IF(ISNUMBER(MATCH(orderHistory[order_type],$D$13,0)),MATCH(ROW(orderHistory[customer]),ROW(orderHistory[customer])),""),ROWS($A$15:A33)+$B$3))),IF($D$13="",INDEX(orderHistory[order_date],SMALL(IF(ISNUMBER(MATCH(orderHistory[status],$D$11,0)),MATCH(ROW(orderHistory[customer]),ROW(orderHistory[customer])),""),ROWS($A$15:A33)+$B$3)),INDEX(orderHistory[order_date],SMALL(IF(ISNUMBER(MATCH(orderHistory[status],$D$11,0)*MATCH(orderHistory[order_type],$D$13,0)),MATCH(ROW(orderHistory[customer]),ROW(orderHistory[customer])),""),ROWS($A$15:A33)+$B$3)))),IF($D$11="",IF($D$13="",INDEX(orderHistory[order_date],SMALL(IF(ISNUMBER(MATCH(orderHistory[customer],$D$9,0)),MATCH(ROW(orderHistory[customer]),ROW(orderHistory[customer])),""),ROWS($A$15:A33)+$B$3)),INDEX(orderHistory[order_date],SMALL(IF(ISNUMBER(MATCH(orderHistory[customer],$D$9,0)*MATCH(orderHistory[order_type],$D$13,0)),MATCH(ROW(orderHistory[customer]),ROW(orderHistory[customer])),""),ROWS($A$15:A33)+$B$3))),IF($D$13="",INDEX(orderHistory[order_date],SMALL(IF(ISNUMBER(MATCH(orderHistory[customer],$D$9,0)*MATCH(orderHistory[status],$D$11,0)),MATCH(ROW(orderHistory[customer]),ROW(orderHistory[customer])),""),ROWS($A$15:A33)+$B$3)),INDEX(orderHistory[order_date],SMALL(IF(ISNUMBER(MATCH(orderHistory[customer],$D$9,0)*MATCH(orderHistory[status],$D$11,0)*MATCH(orderHistory[order_type],$D$13,0)),MATCH(ROW(orderHistory[customer]),ROW(orderHistory[customer])),""),ROWS($A$15:A33)+$B$3))))),"")</f>
        <v>45300</v>
      </c>
      <c r="P28" s="379">
        <f t="array" ref="P28">IF(IFERROR(IF($D$9="",IF($D$11="",IF($D$13="",INDEX(orderHistory[invoice_no],SMALL(MATCH(ROW(orderHistory[customer]),ROW(orderHistory[customer])),ROWS($A$15:A33)+$B$3)),INDEX(orderHistory[invoice_no],SMALL(IF(ISNUMBER(MATCH(orderHistory[order_type],$D$13,0)),MATCH(ROW(orderHistory[customer]),ROW(orderHistory[customer])),""),ROWS($A$15:A33)+$B$3))),IF($D$13="",INDEX(orderHistory[invoice_no],SMALL(IF(ISNUMBER(MATCH(orderHistory[status],$D$11,0)),MATCH(ROW(orderHistory[customer]),ROW(orderHistory[customer])),""),ROWS($A$15:A33)+$B$3)),INDEX(orderHistory[invoice_no],SMALL(IF(ISNUMBER(MATCH(orderHistory[status],$D$11,0)*MATCH(orderHistory[order_type],$D$13,0)),MATCH(ROW(orderHistory[customer]),ROW(orderHistory[customer])),""),ROWS($A$15:A33)+$B$3)))),IF($D$11="",IF($D$13="",INDEX(orderHistory[invoice_no],SMALL(IF(ISNUMBER(MATCH(orderHistory[customer],$D$9,0)),MATCH(ROW(orderHistory[customer]),ROW(orderHistory[customer])),""),ROWS($A$15:A33)+$B$3)),INDEX(orderHistory[invoice_no],SMALL(IF(ISNUMBER(MATCH(orderHistory[customer],$D$9,0)*MATCH(orderHistory[order_type],$D$13,0)),MATCH(ROW(orderHistory[customer]),ROW(orderHistory[customer])),""),ROWS($A$15:A33)+$B$3))),IF($D$13="",INDEX(orderHistory[invoice_no],SMALL(IF(ISNUMBER(MATCH(orderHistory[customer],$D$9,0)*MATCH(orderHistory[status],$D$11,0)),MATCH(ROW(orderHistory[customer]),ROW(orderHistory[customer])),""),ROWS($A$15:A33)+$B$3)),INDEX(orderHistory[invoice_no],SMALL(IF(ISNUMBER(MATCH(orderHistory[customer],$D$9,0)*MATCH(orderHistory[status],$D$11,0)*MATCH(orderHistory[order_type],$D$13,0)),MATCH(ROW(orderHistory[customer]),ROW(orderHistory[customer])),""),ROWS($A$15:A33)+$B$3))))),"")=0,"",IFERROR(IF($D$9="",IF($D$11="",IF($D$13="",INDEX(orderHistory[invoice_no],SMALL(MATCH(ROW(orderHistory[customer]),ROW(orderHistory[customer])),ROWS($A$15:A33)+$B$3)),INDEX(orderHistory[invoice_no],SMALL(IF(ISNUMBER(MATCH(orderHistory[order_type],$D$13,0)),MATCH(ROW(orderHistory[customer]),ROW(orderHistory[customer])),""),ROWS($A$15:A33)+$B$3))),IF($D$13="",INDEX(orderHistory[invoice_no],SMALL(IF(ISNUMBER(MATCH(orderHistory[status],$D$11,0)),MATCH(ROW(orderHistory[customer]),ROW(orderHistory[customer])),""),ROWS($A$15:A33)+$B$3)),INDEX(orderHistory[invoice_no],SMALL(IF(ISNUMBER(MATCH(orderHistory[status],$D$11,0)*MATCH(orderHistory[order_type],$D$13,0)),MATCH(ROW(orderHistory[customer]),ROW(orderHistory[customer])),""),ROWS($A$15:A33)+$B$3)))),IF($D$11="",IF($D$13="",INDEX(orderHistory[invoice_no],SMALL(IF(ISNUMBER(MATCH(orderHistory[customer],$D$9,0)),MATCH(ROW(orderHistory[customer]),ROW(orderHistory[customer])),""),ROWS($A$15:A33)+$B$3)),INDEX(orderHistory[invoice_no],SMALL(IF(ISNUMBER(MATCH(orderHistory[customer],$D$9,0)*MATCH(orderHistory[order_type],$D$13,0)),MATCH(ROW(orderHistory[customer]),ROW(orderHistory[customer])),""),ROWS($A$15:A33)+$B$3))),IF($D$13="",INDEX(orderHistory[invoice_no],SMALL(IF(ISNUMBER(MATCH(orderHistory[customer],$D$9,0)*MATCH(orderHistory[status],$D$11,0)),MATCH(ROW(orderHistory[customer]),ROW(orderHistory[customer])),""),ROWS($A$15:A33)+$B$3)),INDEX(orderHistory[invoice_no],SMALL(IF(ISNUMBER(MATCH(orderHistory[customer],$D$9,0)*MATCH(orderHistory[status],$D$11,0)*MATCH(orderHistory[order_type],$D$13,0)),MATCH(ROW(orderHistory[customer]),ROW(orderHistory[customer])),""),ROWS($A$15:A33)+$B$3))))),""))</f>
        <v>6</v>
      </c>
      <c r="Q28" s="381">
        <f t="array" ref="Q28">IF(IFERROR(IF($D$9="",IF($D$11="",IF($D$13="",INDEX(orderHistory[invoice_date],SMALL(MATCH(ROW(orderHistory[customer]),ROW(orderHistory[customer])),ROWS($A$15:A33)+$B$3)),INDEX(orderHistory[invoice_date],SMALL(IF(ISNUMBER(MATCH(orderHistory[order_type],$D$13,0)),MATCH(ROW(orderHistory[customer]),ROW(orderHistory[customer])),""),ROWS($A$15:A33)+$B$3))),IF($D$13="",INDEX(orderHistory[invoice_date],SMALL(IF(ISNUMBER(MATCH(orderHistory[status],$D$11,0)),MATCH(ROW(orderHistory[customer]),ROW(orderHistory[customer])),""),ROWS($A$15:A33)+$B$3)),INDEX(orderHistory[invoice_date],SMALL(IF(ISNUMBER(MATCH(orderHistory[status],$D$11,0)*MATCH(orderHistory[order_type],$D$13,0)),MATCH(ROW(orderHistory[customer]),ROW(orderHistory[customer])),""),ROWS($A$15:A33)+$B$3)))),IF($D$11="",IF($D$13="",INDEX(orderHistory[invoice_date],SMALL(IF(ISNUMBER(MATCH(orderHistory[customer],$D$9,0)),MATCH(ROW(orderHistory[customer]),ROW(orderHistory[customer])),""),ROWS($A$15:A33)+$B$3)),INDEX(orderHistory[invoice_date],SMALL(IF(ISNUMBER(MATCH(orderHistory[customer],$D$9,0)*MATCH(orderHistory[order_type],$D$13,0)),MATCH(ROW(orderHistory[customer]),ROW(orderHistory[customer])),""),ROWS($A$15:A33)+$B$3))),IF($D$13="",INDEX(orderHistory[invoice_date],SMALL(IF(ISNUMBER(MATCH(orderHistory[customer],$D$9,0)*MATCH(orderHistory[status],$D$11,0)),MATCH(ROW(orderHistory[customer]),ROW(orderHistory[customer])),""),ROWS($A$15:A33)+$B$3)),INDEX(orderHistory[invoice_date],SMALL(IF(ISNUMBER(MATCH(orderHistory[customer],$D$9,0)*MATCH(orderHistory[status],$D$11,0)*MATCH(orderHistory[order_type],$D$13,0)),MATCH(ROW(orderHistory[customer]),ROW(orderHistory[customer])),""),ROWS($A$15:A33)+$B$3))))),"")=0,"",IFERROR(IF($D$9="",IF($D$11="",IF($D$13="",INDEX(orderHistory[invoice_date],SMALL(MATCH(ROW(orderHistory[customer]),ROW(orderHistory[customer])),ROWS($A$15:A33)+$B$3)),INDEX(orderHistory[invoice_date],SMALL(IF(ISNUMBER(MATCH(orderHistory[order_type],$D$13,0)),MATCH(ROW(orderHistory[customer]),ROW(orderHistory[customer])),""),ROWS($A$15:A33)+$B$3))),IF($D$13="",INDEX(orderHistory[invoice_date],SMALL(IF(ISNUMBER(MATCH(orderHistory[status],$D$11,0)),MATCH(ROW(orderHistory[customer]),ROW(orderHistory[customer])),""),ROWS($A$15:A33)+$B$3)),INDEX(orderHistory[invoice_date],SMALL(IF(ISNUMBER(MATCH(orderHistory[status],$D$11,0)*MATCH(orderHistory[order_type],$D$13,0)),MATCH(ROW(orderHistory[customer]),ROW(orderHistory[customer])),""),ROWS($A$15:A33)+$B$3)))),IF($D$11="",IF($D$13="",INDEX(orderHistory[invoice_date],SMALL(IF(ISNUMBER(MATCH(orderHistory[customer],$D$9,0)),MATCH(ROW(orderHistory[customer]),ROW(orderHistory[customer])),""),ROWS($A$15:A33)+$B$3)),INDEX(orderHistory[invoice_date],SMALL(IF(ISNUMBER(MATCH(orderHistory[customer],$D$9,0)*MATCH(orderHistory[order_type],$D$13,0)),MATCH(ROW(orderHistory[customer]),ROW(orderHistory[customer])),""),ROWS($A$15:A33)+$B$3))),IF($D$13="",INDEX(orderHistory[invoice_date],SMALL(IF(ISNUMBER(MATCH(orderHistory[customer],$D$9,0)*MATCH(orderHistory[status],$D$11,0)),MATCH(ROW(orderHistory[customer]),ROW(orderHistory[customer])),""),ROWS($A$15:A33)+$B$3)),INDEX(orderHistory[invoice_date],SMALL(IF(ISNUMBER(MATCH(orderHistory[customer],$D$9,0)*MATCH(orderHistory[status],$D$11,0)*MATCH(orderHistory[order_type],$D$13,0)),MATCH(ROW(orderHistory[customer]),ROW(orderHistory[customer])),""),ROWS($A$15:A33)+$B$3))))),""))</f>
        <v>45300</v>
      </c>
      <c r="R28" s="377">
        <f t="array" ref="R28">IFERROR(IF($D$9="",IF($D$11="",IF($D$13="",INDEX(orderHistory[inv_amount],SMALL(MATCH(ROW(orderHistory[customer]),ROW(orderHistory[customer])),ROWS($A$15:A33)+$B$3)),INDEX(orderHistory[inv_amount],SMALL(IF(ISNUMBER(MATCH(orderHistory[order_type],$D$13,0)),MATCH(ROW(orderHistory[customer]),ROW(orderHistory[customer])),""),ROWS($A$15:A33)+$B$3))),IF($D$13="",INDEX(orderHistory[inv_amount],SMALL(IF(ISNUMBER(MATCH(orderHistory[status],$D$11,0)),MATCH(ROW(orderHistory[customer]),ROW(orderHistory[customer])),""),ROWS($A$15:A33)+$B$3)),INDEX(orderHistory[inv_amount],SMALL(IF(ISNUMBER(MATCH(orderHistory[status],$D$11,0)*MATCH(orderHistory[order_type],$D$13,0)),MATCH(ROW(orderHistory[customer]),ROW(orderHistory[customer])),""),ROWS($A$15:A33)+$B$3)))),IF($D$11="",IF($D$13="",INDEX(orderHistory[inv_amount],SMALL(IF(ISNUMBER(MATCH(orderHistory[customer],$D$9,0)),MATCH(ROW(orderHistory[customer]),ROW(orderHistory[customer])),""),ROWS($A$15:A33)+$B$3)),INDEX(orderHistory[inv_amount],SMALL(IF(ISNUMBER(MATCH(orderHistory[customer],$D$9,0)*MATCH(orderHistory[order_type],$D$13,0)),MATCH(ROW(orderHistory[customer]),ROW(orderHistory[customer])),""),ROWS($A$15:A33)+$B$3))),IF($D$13="",INDEX(orderHistory[inv_amount],SMALL(IF(ISNUMBER(MATCH(orderHistory[customer],$D$9,0)*MATCH(orderHistory[status],$D$11,0)),MATCH(ROW(orderHistory[customer]),ROW(orderHistory[customer])),""),ROWS($A$15:A33)+$B$3)),INDEX(orderHistory[inv_amount],SMALL(IF(ISNUMBER(MATCH(orderHistory[customer],$D$9,0)*MATCH(orderHistory[status],$D$11,0)*MATCH(orderHistory[order_type],$D$13,0)),MATCH(ROW(orderHistory[customer]),ROW(orderHistory[customer])),""),ROWS($A$15:A33)+$B$3))))),"")</f>
        <v>51000</v>
      </c>
      <c r="S28" s="383">
        <f t="shared" si="0"/>
        <v>3570.0000000000005</v>
      </c>
      <c r="T28" s="385" t="b">
        <f t="array" ref="T28">IFERROR(IF($D$9="",IF($D$11="",IF($D$13="",INDEX(orderHistory[payed],SMALL(MATCH(ROW(orderHistory[customer]),ROW(orderHistory[customer])),ROWS($A$15:A33)+$B$3)),INDEX(orderHistory[payed],SMALL(IF(ISNUMBER(MATCH(orderHistory[order_type],$D$13,0)),MATCH(ROW(orderHistory[customer]),ROW(orderHistory[customer])),""),ROWS($A$15:A33)+$B$3))),IF($D$13="",INDEX(orderHistory[payed],SMALL(IF(ISNUMBER(MATCH(orderHistory[status],$D$11,0)),MATCH(ROW(orderHistory[customer]),ROW(orderHistory[customer])),""),ROWS($A$15:A33)+$B$3)),INDEX(orderHistory[payed],SMALL(IF(ISNUMBER(MATCH(orderHistory[status],$D$11,0)*MATCH(orderHistory[order_type],$D$13,0)),MATCH(ROW(orderHistory[customer]),ROW(orderHistory[customer])),""),ROWS($A$15:A33)+$B$3)))),IF($D$11="",IF($D$13="",INDEX(orderHistory[payed],SMALL(IF(ISNUMBER(MATCH(orderHistory[customer],$D$9,0)),MATCH(ROW(orderHistory[customer]),ROW(orderHistory[customer])),""),ROWS($A$15:A33)+$B$3)),INDEX(orderHistory[payed],SMALL(IF(ISNUMBER(MATCH(orderHistory[customer],$D$9,0)*MATCH(orderHistory[order_type],$D$13,0)),MATCH(ROW(orderHistory[customer]),ROW(orderHistory[customer])),""),ROWS($A$15:A33)+$B$3))),IF($D$13="",INDEX(orderHistory[payed],SMALL(IF(ISNUMBER(MATCH(orderHistory[customer],$D$9,0)*MATCH(orderHistory[status],$D$11,0)),MATCH(ROW(orderHistory[customer]),ROW(orderHistory[customer])),""),ROWS($A$15:A33)+$B$3)),INDEX(orderHistory[payed],SMALL(IF(ISNUMBER(MATCH(orderHistory[customer],$D$9,0)*MATCH(orderHistory[status],$D$11,0)*MATCH(orderHistory[order_type],$D$13,0)),MATCH(ROW(orderHistory[customer]),ROW(orderHistory[customer])),""),ROWS($A$15:A33)+$B$3))))),"")</f>
        <v>1</v>
      </c>
      <c r="U28" s="386" t="str">
        <f t="array" ref="U28">IFERROR(IF($D$9="",IF($D$11="",IF($D$13="",INDEX(orderHistory[shipping_method],SMALL(MATCH(ROW(orderHistory[customer]),ROW(orderHistory[customer])),ROWS($A$15:A33)+$B$3)),INDEX(orderHistory[shipping_method],SMALL(IF(ISNUMBER(MATCH(orderHistory[order_type],$D$13,0)),MATCH(ROW(orderHistory[customer]),ROW(orderHistory[customer])),""),ROWS($A$15:A33)+$B$3))),IF($D$13="",INDEX(orderHistory[shipping_method],SMALL(IF(ISNUMBER(MATCH(orderHistory[status],$D$11,0)),MATCH(ROW(orderHistory[customer]),ROW(orderHistory[customer])),""),ROWS($A$15:A33)+$B$3)),INDEX(orderHistory[shipping_method],SMALL(IF(ISNUMBER(MATCH(orderHistory[status],$D$11,0)*MATCH(orderHistory[order_type],$D$13,0)),MATCH(ROW(orderHistory[customer]),ROW(orderHistory[customer])),""),ROWS($A$15:A33)+$B$3)))),IF($D$11="",IF($D$13="",INDEX(orderHistory[shipping_method],SMALL(IF(ISNUMBER(MATCH(orderHistory[customer],$D$9,0)),MATCH(ROW(orderHistory[customer]),ROW(orderHistory[customer])),""),ROWS($A$15:A33)+$B$3)),INDEX(orderHistory[shipping_method],SMALL(IF(ISNUMBER(MATCH(orderHistory[customer],$D$9,0)*MATCH(orderHistory[order_type],$D$13,0)),MATCH(ROW(orderHistory[customer]),ROW(orderHistory[customer])),""),ROWS($A$15:A33)+$B$3))),IF($D$13="",INDEX(orderHistory[shipping_method],SMALL(IF(ISNUMBER(MATCH(orderHistory[customer],$D$9,0)*MATCH(orderHistory[status],$D$11,0)),MATCH(ROW(orderHistory[customer]),ROW(orderHistory[customer])),""),ROWS($A$15:A33)+$B$3)),INDEX(orderHistory[shipping_method],SMALL(IF(ISNUMBER(MATCH(orderHistory[customer],$D$9,0)*MATCH(orderHistory[status],$D$11,0)*MATCH(orderHistory[order_type],$D$13,0)),MATCH(ROW(orderHistory[customer]),ROW(orderHistory[customer])),""),ROWS($A$15:A33)+$B$3))))),"")</f>
        <v>BY ROAD</v>
      </c>
      <c r="V28" s="387" t="str">
        <f t="array" ref="V28">IFERROR(IF($D$9="",IF($D$11="",IF($D$13="",INDEX(orderHistory[status],SMALL(MATCH(ROW(orderHistory[customer]),ROW(orderHistory[customer])),ROWS($A$15:A33)+$B$3)),INDEX(orderHistory[status],SMALL(IF(ISNUMBER(MATCH(orderHistory[order_type],$D$13,0)),MATCH(ROW(orderHistory[customer]),ROW(orderHistory[customer])),""),ROWS($A$15:A33)+$B$3))),IF($D$13="",INDEX(orderHistory[status],SMALL(IF(ISNUMBER(MATCH(orderHistory[status],$D$11,0)),MATCH(ROW(orderHistory[customer]),ROW(orderHistory[customer])),""),ROWS($A$15:A33)+$B$3)),INDEX(orderHistory[status],SMALL(IF(ISNUMBER(MATCH(orderHistory[status],$D$11,0)*MATCH(orderHistory[order_type],$D$13,0)),MATCH(ROW(orderHistory[customer]),ROW(orderHistory[customer])),""),ROWS($A$15:A33)+$B$3)))),IF($D$11="",IF($D$13="",INDEX(orderHistory[status],SMALL(IF(ISNUMBER(MATCH(orderHistory[customer],$D$9,0)),MATCH(ROW(orderHistory[customer]),ROW(orderHistory[customer])),""),ROWS($A$15:A33)+$B$3)),INDEX(orderHistory[status],SMALL(IF(ISNUMBER(MATCH(orderHistory[customer],$D$9,0)*MATCH(orderHistory[order_type],$D$13,0)),MATCH(ROW(orderHistory[customer]),ROW(orderHistory[customer])),""),ROWS($A$15:A33)+$B$3))),IF($D$13="",INDEX(orderHistory[status],SMALL(IF(ISNUMBER(MATCH(orderHistory[customer],$D$9,0)*MATCH(orderHistory[status],$D$11,0)),MATCH(ROW(orderHistory[customer]),ROW(orderHistory[customer])),""),ROWS($A$15:A33)+$B$3)),INDEX(orderHistory[status],SMALL(IF(ISNUMBER(MATCH(orderHistory[customer],$D$9,0)*MATCH(orderHistory[status],$D$11,0)*MATCH(orderHistory[order_type],$D$13,0)),MATCH(ROW(orderHistory[customer]),ROW(orderHistory[customer])),""),ROWS($A$15:A33)+$B$3))))),"")</f>
        <v>SHIPPED</v>
      </c>
      <c r="W28" s="111"/>
      <c r="AQ28" s="125" t="s">
        <v>724</v>
      </c>
      <c r="AR28" s="405" t="s">
        <v>759</v>
      </c>
      <c r="AS28" s="397" t="s">
        <v>885</v>
      </c>
      <c r="AT28" s="373" t="str">
        <f>IFERROR(INDEX(clientData[place_of_discharge], MATCH($AO$9, clientData[cod_cliente], 0)),"")</f>
        <v>CARLET - SPAIN</v>
      </c>
      <c r="AU28" s="121"/>
      <c r="AW28" s="131"/>
      <c r="AX28" s="120" t="s">
        <v>726</v>
      </c>
      <c r="AY28" s="120"/>
      <c r="AZ28" s="120"/>
      <c r="BA28" s="120"/>
      <c r="BB28" s="950"/>
      <c r="BC28" s="951"/>
      <c r="BD28" s="951"/>
      <c r="BE28" s="951"/>
      <c r="BF28" s="951"/>
      <c r="BG28" s="951"/>
      <c r="BH28" s="952"/>
      <c r="BI28" s="291"/>
      <c r="BJ28" s="121"/>
      <c r="BK28" s="146"/>
      <c r="BL28" s="147"/>
      <c r="BM28" s="148"/>
      <c r="BN28" s="147"/>
      <c r="BO28" s="148"/>
      <c r="BZ28" s="295"/>
      <c r="CA28" s="270" t="str">
        <f>IF(BZ28="","",VLOOKUP(BZ28,bhpc_data[],7,FALSE))</f>
        <v/>
      </c>
      <c r="CB28" s="296"/>
      <c r="CC28" s="642"/>
      <c r="CD28" s="297"/>
      <c r="CE28" s="645"/>
      <c r="CF28" s="298"/>
      <c r="CG28" s="301" t="str">
        <f>IFERROR(ROUNDUP(CB28/VLOOKUP(BZ28,bhpc_data[],9,FALSE),0)+ROUNDUP(CD28/VLOOKUP(BZ28,bhpc_data[],9,FALSE),0),"")</f>
        <v/>
      </c>
      <c r="CH28" s="302" t="str">
        <f>IFERROR(ROUNDUP(CD28/VLOOKUP(BZ28,bhpc_data[],9,FALSE),0),"")</f>
        <v/>
      </c>
      <c r="CI28" s="302" t="str">
        <f>IFERROR(ROUNDUP(CF28/VLOOKUP(BZ28,bhpc_data[],9,FALSE),0),"")</f>
        <v/>
      </c>
      <c r="CJ28" s="302" t="str">
        <f>IFERROR(((CB28+CD28+CF28)/VLOOKUP(BZ28,bhpc_data[],9,FALSE))*VLOOKUP(BZ28,bhpc_data[],17,FALSE),"")</f>
        <v/>
      </c>
      <c r="CK28" s="302" t="str">
        <f>IFERROR(((CB28+CD28+CF28)/VLOOKUP(BZ28,bhpc_data[],9,FALSE))*VLOOKUP(BZ28,bhpc_data[],18,FALSE),"")</f>
        <v/>
      </c>
      <c r="CL28" s="346" t="str">
        <f>IFERROR((CB28+CD28)/VLOOKUP(BZ28,bhpc_data[],9,FALSE)*VLOOKUP(BZ28,bhpc_data[],14,FALSE)*VLOOKUP(BZ28,bhpc_data[],15,FALSE)*VLOOKUP(BZ28,bhpc_data[],16,FALSE)/1000000000,"")</f>
        <v/>
      </c>
      <c r="CM28" s="409" t="str">
        <f>IFERROR(VLOOKUP(BZ28,bhpc_data[],2,FALSE),"")</f>
        <v/>
      </c>
      <c r="CN28" s="409" t="str">
        <f>IFERROR(VLOOKUP(BZ28,bhpc_data[],19,FALSE),"")</f>
        <v/>
      </c>
      <c r="CO28" s="653" t="str">
        <f>IFERROR(VLOOKUP(BZ28,bhpc_data[],6,FALSE),"")</f>
        <v/>
      </c>
      <c r="CP28" s="654" t="str">
        <f>IFERROR(VLOOKUP(BZ28,inventory[],4,FALSE),"")</f>
        <v/>
      </c>
      <c r="CQ28" s="651" t="str">
        <f>IFERROR(IF(BZ28="","",IF($BX$15="SALE",VLOOKUP(BZ28,inventory[],5,FALSE),IF($BX$15="SAMPLING",VLOOKUP(BZ28,inventory[],5,FALSE),""))),"")</f>
        <v/>
      </c>
      <c r="CR28" s="652" t="str">
        <f>IFERROR(IF(BZ28="","",(CB28+CD28+CF28)*CQ28),"")</f>
        <v/>
      </c>
      <c r="CS28" s="557" t="str">
        <f>IF(BZ28="","",CB28*CC28+CD28*CE28)</f>
        <v/>
      </c>
      <c r="CU28" s="169"/>
      <c r="CV28" s="118"/>
      <c r="CW28" s="594" t="s">
        <v>1011</v>
      </c>
      <c r="CX28" s="594" t="s">
        <v>1003</v>
      </c>
      <c r="CY28" s="118"/>
      <c r="CZ28" s="119"/>
      <c r="DA28" s="540" t="str">
        <f>IFERROR(VLOOKUP(BZ28,bhpc_data[],22,FALSE),"")</f>
        <v/>
      </c>
      <c r="DF28" s="167"/>
      <c r="DG28" s="122"/>
      <c r="DH28" s="168"/>
      <c r="DI28" s="122"/>
      <c r="DJ28" s="122"/>
      <c r="DK28" s="122"/>
      <c r="DL28" s="122"/>
      <c r="DM28" s="122"/>
      <c r="DN28" s="122"/>
      <c r="DO28" s="122"/>
      <c r="DP28" s="122"/>
      <c r="DQ28" s="122"/>
      <c r="DR28" s="122"/>
      <c r="DS28" s="122"/>
      <c r="DT28" s="122"/>
      <c r="DU28" s="122"/>
      <c r="DV28" s="123"/>
      <c r="EE28" s="453" t="s">
        <v>80</v>
      </c>
      <c r="EF28" s="447" t="str">
        <f>VLOOKUP(EE28,bhpc_data[],7,FALSE)</f>
        <v>BHPC SPORT MEN 8 EDT 50ML</v>
      </c>
      <c r="EG28" s="555">
        <f>IFERROR(VLOOKUP(EE28,inventory[],4,FALSE),0)</f>
        <v>0</v>
      </c>
      <c r="EH28" s="555">
        <f>IFERROR(VLOOKUP(warehouse[[#This Row],[SKU]],$EQ$10:$ES$38,3,FALSE),0)</f>
        <v>0</v>
      </c>
      <c r="EI28" s="555">
        <f>IFERROR(VLOOKUP(warehouse[[#This Row],[SKU]],$EM$10:$EO$61,3,FALSE),0)</f>
        <v>0</v>
      </c>
      <c r="EJ28" s="555">
        <f>warehouse[[#This Row],[T-1]]+warehouse[[#This Row],[SUPPLY]]-warehouse[[#This Row],[SALE + SAMPLING]]</f>
        <v>0</v>
      </c>
      <c r="EM28" s="74" t="s">
        <v>108</v>
      </c>
      <c r="EN28" s="74" t="s">
        <v>109</v>
      </c>
      <c r="EO28" s="431">
        <v>6000</v>
      </c>
      <c r="EQ28" s="74" t="s">
        <v>905</v>
      </c>
      <c r="ER28" s="74" t="s">
        <v>1129</v>
      </c>
      <c r="ES28" s="446">
        <v>5016</v>
      </c>
    </row>
    <row r="29" spans="1:149" ht="15" customHeight="1" thickBot="1">
      <c r="D29" s="677">
        <f>VLOOKUP(VLOOKUP($B$4,orderHistory[],15,FALSE),carriers[],5,FALSE)</f>
        <v>0</v>
      </c>
      <c r="F29" s="160"/>
      <c r="G29" s="122"/>
      <c r="H29" s="122"/>
      <c r="I29" s="122"/>
      <c r="J29" s="123"/>
      <c r="L29" s="274" t="str">
        <f t="array" ref="L29">IFERROR(IF($D$9="",IF($D$11="",IF($D$13="",INDEX(orderHistory[customer],SMALL(MATCH(ROW(orderHistory[customer]),ROW(orderHistory[customer])),ROWS($A$15:A34)+$B$3)),INDEX(orderHistory[customer],SMALL(IF(ISNUMBER(MATCH(orderHistory[order_type],$D$13,0)),MATCH(ROW(orderHistory[customer]),ROW(orderHistory[customer])),""),ROWS($A$15:A34)+$B$3))),IF($D$13="",INDEX(orderHistory[customer],SMALL(IF(ISNUMBER(MATCH(orderHistory[status],$D$11,0)),MATCH(ROW(orderHistory[customer]),ROW(orderHistory[customer])),""),ROWS($A$15:A34)+$B$3)),INDEX(orderHistory[customer],SMALL(IF(ISNUMBER(MATCH(orderHistory[status],$D$11,0)*MATCH(orderHistory[order_type],$D$13,0)),MATCH(ROW(orderHistory[customer]),ROW(orderHistory[customer])),""),ROWS($A$15:A34)+$B$3)))),IF($D$11="",IF($D$13="",INDEX(orderHistory[customer],SMALL(IF(ISNUMBER(MATCH(orderHistory[customer],$D$9,0)),MATCH(ROW(orderHistory[customer]),ROW(orderHistory[customer])),""),ROWS($A$15:A34)+$B$3)),INDEX(orderHistory[customer],SMALL(IF(ISNUMBER(MATCH(orderHistory[customer],$D$9,0)*MATCH(orderHistory[order_type],$D$13,0)),MATCH(ROW(orderHistory[customer]),ROW(orderHistory[customer])),""),ROWS($A$15:A34)+$B$3))),IF($D$13="",INDEX(orderHistory[customer],SMALL(IF(ISNUMBER(MATCH(orderHistory[customer],$D$9,0)*MATCH(orderHistory[status],$D$11,0)),MATCH(ROW(orderHistory[customer]),ROW(orderHistory[customer])),""),ROWS($A$15:A34)+$B$3)),INDEX(orderHistory[customer],SMALL(IF(ISNUMBER(MATCH(orderHistory[customer],$D$9,0)*MATCH(orderHistory[status],$D$11,0)*MATCH(orderHistory[order_type],$D$13,0)),MATCH(ROW(orderHistory[customer]),ROW(orderHistory[customer])),""),ROWS($A$15:A34)+$B$3))))),"")</f>
        <v>LINDO CHAIN</v>
      </c>
      <c r="M29" s="391">
        <f t="array" ref="M29">IFERROR(IF($D$9="",IF($D$11="",IF($D$13="",INDEX(orderHistory[order_no],SMALL(MATCH(ROW(orderHistory[customer]),ROW(orderHistory[customer])),ROWS($A$15:A34)+$B$3)),INDEX(orderHistory[order_no],SMALL(IF(ISNUMBER(MATCH(orderHistory[order_type],$D$13,0)),MATCH(ROW(orderHistory[customer]),ROW(orderHistory[customer])),""),ROWS($A$15:A34)+$B$3))),IF($D$13="",INDEX(orderHistory[order_no],SMALL(IF(ISNUMBER(MATCH(orderHistory[status],$D$11,0)),MATCH(ROW(orderHistory[customer]),ROW(orderHistory[customer])),""),ROWS($A$15:A34)+$B$3)),INDEX(orderHistory[order_no],SMALL(IF(ISNUMBER(MATCH(orderHistory[status],$D$11,0)*MATCH(orderHistory[order_type],$D$13,0)),MATCH(ROW(orderHistory[customer]),ROW(orderHistory[customer])),""),ROWS($A$15:A34)+$B$3)))),IF($D$11="",IF($D$13="",INDEX(orderHistory[order_no],SMALL(IF(ISNUMBER(MATCH(orderHistory[customer],$D$9,0)),MATCH(ROW(orderHistory[customer]),ROW(orderHistory[customer])),""),ROWS($A$15:A34)+$B$3)),INDEX(orderHistory[order_no],SMALL(IF(ISNUMBER(MATCH(orderHistory[customer],$D$9,0)*MATCH(orderHistory[order_type],$D$13,0)),MATCH(ROW(orderHistory[customer]),ROW(orderHistory[customer])),""),ROWS($A$15:A34)+$B$3))),IF($D$13="",INDEX(orderHistory[order_no],SMALL(IF(ISNUMBER(MATCH(orderHistory[customer],$D$9,0)*MATCH(orderHistory[status],$D$11,0)),MATCH(ROW(orderHistory[customer]),ROW(orderHistory[customer])),""),ROWS($A$15:A34)+$B$3)),INDEX(orderHistory[order_no],SMALL(IF(ISNUMBER(MATCH(orderHistory[customer],$D$9,0)*MATCH(orderHistory[status],$D$11,0)*MATCH(orderHistory[order_type],$D$13,0)),MATCH(ROW(orderHistory[customer]),ROW(orderHistory[customer])),""),ROWS($A$15:A34)+$B$3))))),"")</f>
        <v>3</v>
      </c>
      <c r="N29" s="386" t="str">
        <f t="array" ref="N29">IFERROR(IF($D$9="",IF($D$11="",IF($D$13="",INDEX(orderHistory[order_type],SMALL(MATCH(ROW(orderHistory[customer]),ROW(orderHistory[customer])),ROWS($A$15:A34)+$B$3)),INDEX(orderHistory[order_type],SMALL(IF(ISNUMBER(MATCH(orderHistory[order_type],$D$13,0)),MATCH(ROW(orderHistory[customer]),ROW(orderHistory[customer])),""),ROWS($A$15:A34)+$B$3))),IF($D$13="",INDEX(orderHistory[order_type],SMALL(IF(ISNUMBER(MATCH(orderHistory[status],$D$11,0)),MATCH(ROW(orderHistory[customer]),ROW(orderHistory[customer])),""),ROWS($A$15:A34)+$B$3)),INDEX(orderHistory[order_type],SMALL(IF(ISNUMBER(MATCH(orderHistory[status],$D$11,0)*MATCH(orderHistory[order_type],$D$13,0)),MATCH(ROW(orderHistory[customer]),ROW(orderHistory[customer])),""),ROWS($A$15:A34)+$B$3)))),IF($D$11="",IF($D$13="",INDEX(orderHistory[order_type],SMALL(IF(ISNUMBER(MATCH(orderHistory[customer],$D$9,0)),MATCH(ROW(orderHistory[customer]),ROW(orderHistory[customer])),""),ROWS($A$15:A34)+$B$3)),INDEX(orderHistory[order_type],SMALL(IF(ISNUMBER(MATCH(orderHistory[customer],$D$9,0)*MATCH(orderHistory[order_type],$D$13,0)),MATCH(ROW(orderHistory[customer]),ROW(orderHistory[customer])),""),ROWS($A$15:A34)+$B$3))),IF($D$13="",INDEX(orderHistory[order_type],SMALL(IF(ISNUMBER(MATCH(orderHistory[customer],$D$9,0)*MATCH(orderHistory[status],$D$11,0)),MATCH(ROW(orderHistory[customer]),ROW(orderHistory[customer])),""),ROWS($A$15:A34)+$B$3)),INDEX(orderHistory[order_type],SMALL(IF(ISNUMBER(MATCH(orderHistory[customer],$D$9,0)*MATCH(orderHistory[status],$D$11,0)*MATCH(orderHistory[order_type],$D$13,0)),MATCH(ROW(orderHistory[customer]),ROW(orderHistory[customer])),""),ROWS($A$15:A34)+$B$3))))),"")</f>
        <v>SALE</v>
      </c>
      <c r="O29" s="275">
        <f t="array" ref="O29">IFERROR(IF($D$9="",IF($D$11="",IF($D$13="",INDEX(orderHistory[order_date],SMALL(MATCH(ROW(orderHistory[customer]),ROW(orderHistory[customer])),ROWS($A$15:A34)+$B$3)),INDEX(orderHistory[order_date],SMALL(IF(ISNUMBER(MATCH(orderHistory[order_type],$D$13,0)),MATCH(ROW(orderHistory[customer]),ROW(orderHistory[customer])),""),ROWS($A$15:A34)+$B$3))),IF($D$13="",INDEX(orderHistory[order_date],SMALL(IF(ISNUMBER(MATCH(orderHistory[status],$D$11,0)),MATCH(ROW(orderHistory[customer]),ROW(orderHistory[customer])),""),ROWS($A$15:A34)+$B$3)),INDEX(orderHistory[order_date],SMALL(IF(ISNUMBER(MATCH(orderHistory[status],$D$11,0)*MATCH(orderHistory[order_type],$D$13,0)),MATCH(ROW(orderHistory[customer]),ROW(orderHistory[customer])),""),ROWS($A$15:A34)+$B$3)))),IF($D$11="",IF($D$13="",INDEX(orderHistory[order_date],SMALL(IF(ISNUMBER(MATCH(orderHistory[customer],$D$9,0)),MATCH(ROW(orderHistory[customer]),ROW(orderHistory[customer])),""),ROWS($A$15:A34)+$B$3)),INDEX(orderHistory[order_date],SMALL(IF(ISNUMBER(MATCH(orderHistory[customer],$D$9,0)*MATCH(orderHistory[order_type],$D$13,0)),MATCH(ROW(orderHistory[customer]),ROW(orderHistory[customer])),""),ROWS($A$15:A34)+$B$3))),IF($D$13="",INDEX(orderHistory[order_date],SMALL(IF(ISNUMBER(MATCH(orderHistory[customer],$D$9,0)*MATCH(orderHistory[status],$D$11,0)),MATCH(ROW(orderHistory[customer]),ROW(orderHistory[customer])),""),ROWS($A$15:A34)+$B$3)),INDEX(orderHistory[order_date],SMALL(IF(ISNUMBER(MATCH(orderHistory[customer],$D$9,0)*MATCH(orderHistory[status],$D$11,0)*MATCH(orderHistory[order_type],$D$13,0)),MATCH(ROW(orderHistory[customer]),ROW(orderHistory[customer])),""),ROWS($A$15:A34)+$B$3))))),"")</f>
        <v>45300</v>
      </c>
      <c r="P29" s="379">
        <f t="array" ref="P29">IF(IFERROR(IF($D$9="",IF($D$11="",IF($D$13="",INDEX(orderHistory[invoice_no],SMALL(MATCH(ROW(orderHistory[customer]),ROW(orderHistory[customer])),ROWS($A$15:A34)+$B$3)),INDEX(orderHistory[invoice_no],SMALL(IF(ISNUMBER(MATCH(orderHistory[order_type],$D$13,0)),MATCH(ROW(orderHistory[customer]),ROW(orderHistory[customer])),""),ROWS($A$15:A34)+$B$3))),IF($D$13="",INDEX(orderHistory[invoice_no],SMALL(IF(ISNUMBER(MATCH(orderHistory[status],$D$11,0)),MATCH(ROW(orderHistory[customer]),ROW(orderHistory[customer])),""),ROWS($A$15:A34)+$B$3)),INDEX(orderHistory[invoice_no],SMALL(IF(ISNUMBER(MATCH(orderHistory[status],$D$11,0)*MATCH(orderHistory[order_type],$D$13,0)),MATCH(ROW(orderHistory[customer]),ROW(orderHistory[customer])),""),ROWS($A$15:A34)+$B$3)))),IF($D$11="",IF($D$13="",INDEX(orderHistory[invoice_no],SMALL(IF(ISNUMBER(MATCH(orderHistory[customer],$D$9,0)),MATCH(ROW(orderHistory[customer]),ROW(orderHistory[customer])),""),ROWS($A$15:A34)+$B$3)),INDEX(orderHistory[invoice_no],SMALL(IF(ISNUMBER(MATCH(orderHistory[customer],$D$9,0)*MATCH(orderHistory[order_type],$D$13,0)),MATCH(ROW(orderHistory[customer]),ROW(orderHistory[customer])),""),ROWS($A$15:A34)+$B$3))),IF($D$13="",INDEX(orderHistory[invoice_no],SMALL(IF(ISNUMBER(MATCH(orderHistory[customer],$D$9,0)*MATCH(orderHistory[status],$D$11,0)),MATCH(ROW(orderHistory[customer]),ROW(orderHistory[customer])),""),ROWS($A$15:A34)+$B$3)),INDEX(orderHistory[invoice_no],SMALL(IF(ISNUMBER(MATCH(orderHistory[customer],$D$9,0)*MATCH(orderHistory[status],$D$11,0)*MATCH(orderHistory[order_type],$D$13,0)),MATCH(ROW(orderHistory[customer]),ROW(orderHistory[customer])),""),ROWS($A$15:A34)+$B$3))))),"")=0,"",IFERROR(IF($D$9="",IF($D$11="",IF($D$13="",INDEX(orderHistory[invoice_no],SMALL(MATCH(ROW(orderHistory[customer]),ROW(orderHistory[customer])),ROWS($A$15:A34)+$B$3)),INDEX(orderHistory[invoice_no],SMALL(IF(ISNUMBER(MATCH(orderHistory[order_type],$D$13,0)),MATCH(ROW(orderHistory[customer]),ROW(orderHistory[customer])),""),ROWS($A$15:A34)+$B$3))),IF($D$13="",INDEX(orderHistory[invoice_no],SMALL(IF(ISNUMBER(MATCH(orderHistory[status],$D$11,0)),MATCH(ROW(orderHistory[customer]),ROW(orderHistory[customer])),""),ROWS($A$15:A34)+$B$3)),INDEX(orderHistory[invoice_no],SMALL(IF(ISNUMBER(MATCH(orderHistory[status],$D$11,0)*MATCH(orderHistory[order_type],$D$13,0)),MATCH(ROW(orderHistory[customer]),ROW(orderHistory[customer])),""),ROWS($A$15:A34)+$B$3)))),IF($D$11="",IF($D$13="",INDEX(orderHistory[invoice_no],SMALL(IF(ISNUMBER(MATCH(orderHistory[customer],$D$9,0)),MATCH(ROW(orderHistory[customer]),ROW(orderHistory[customer])),""),ROWS($A$15:A34)+$B$3)),INDEX(orderHistory[invoice_no],SMALL(IF(ISNUMBER(MATCH(orderHistory[customer],$D$9,0)*MATCH(orderHistory[order_type],$D$13,0)),MATCH(ROW(orderHistory[customer]),ROW(orderHistory[customer])),""),ROWS($A$15:A34)+$B$3))),IF($D$13="",INDEX(orderHistory[invoice_no],SMALL(IF(ISNUMBER(MATCH(orderHistory[customer],$D$9,0)*MATCH(orderHistory[status],$D$11,0)),MATCH(ROW(orderHistory[customer]),ROW(orderHistory[customer])),""),ROWS($A$15:A34)+$B$3)),INDEX(orderHistory[invoice_no],SMALL(IF(ISNUMBER(MATCH(orderHistory[customer],$D$9,0)*MATCH(orderHistory[status],$D$11,0)*MATCH(orderHistory[order_type],$D$13,0)),MATCH(ROW(orderHistory[customer]),ROW(orderHistory[customer])),""),ROWS($A$15:A34)+$B$3))))),""))</f>
        <v>5</v>
      </c>
      <c r="Q29" s="381">
        <f t="array" ref="Q29">IF(IFERROR(IF($D$9="",IF($D$11="",IF($D$13="",INDEX(orderHistory[invoice_date],SMALL(MATCH(ROW(orderHistory[customer]),ROW(orderHistory[customer])),ROWS($A$15:A34)+$B$3)),INDEX(orderHistory[invoice_date],SMALL(IF(ISNUMBER(MATCH(orderHistory[order_type],$D$13,0)),MATCH(ROW(orderHistory[customer]),ROW(orderHistory[customer])),""),ROWS($A$15:A34)+$B$3))),IF($D$13="",INDEX(orderHistory[invoice_date],SMALL(IF(ISNUMBER(MATCH(orderHistory[status],$D$11,0)),MATCH(ROW(orderHistory[customer]),ROW(orderHistory[customer])),""),ROWS($A$15:A34)+$B$3)),INDEX(orderHistory[invoice_date],SMALL(IF(ISNUMBER(MATCH(orderHistory[status],$D$11,0)*MATCH(orderHistory[order_type],$D$13,0)),MATCH(ROW(orderHistory[customer]),ROW(orderHistory[customer])),""),ROWS($A$15:A34)+$B$3)))),IF($D$11="",IF($D$13="",INDEX(orderHistory[invoice_date],SMALL(IF(ISNUMBER(MATCH(orderHistory[customer],$D$9,0)),MATCH(ROW(orderHistory[customer]),ROW(orderHistory[customer])),""),ROWS($A$15:A34)+$B$3)),INDEX(orderHistory[invoice_date],SMALL(IF(ISNUMBER(MATCH(orderHistory[customer],$D$9,0)*MATCH(orderHistory[order_type],$D$13,0)),MATCH(ROW(orderHistory[customer]),ROW(orderHistory[customer])),""),ROWS($A$15:A34)+$B$3))),IF($D$13="",INDEX(orderHistory[invoice_date],SMALL(IF(ISNUMBER(MATCH(orderHistory[customer],$D$9,0)*MATCH(orderHistory[status],$D$11,0)),MATCH(ROW(orderHistory[customer]),ROW(orderHistory[customer])),""),ROWS($A$15:A34)+$B$3)),INDEX(orderHistory[invoice_date],SMALL(IF(ISNUMBER(MATCH(orderHistory[customer],$D$9,0)*MATCH(orderHistory[status],$D$11,0)*MATCH(orderHistory[order_type],$D$13,0)),MATCH(ROW(orderHistory[customer]),ROW(orderHistory[customer])),""),ROWS($A$15:A34)+$B$3))))),"")=0,"",IFERROR(IF($D$9="",IF($D$11="",IF($D$13="",INDEX(orderHistory[invoice_date],SMALL(MATCH(ROW(orderHistory[customer]),ROW(orderHistory[customer])),ROWS($A$15:A34)+$B$3)),INDEX(orderHistory[invoice_date],SMALL(IF(ISNUMBER(MATCH(orderHistory[order_type],$D$13,0)),MATCH(ROW(orderHistory[customer]),ROW(orderHistory[customer])),""),ROWS($A$15:A34)+$B$3))),IF($D$13="",INDEX(orderHistory[invoice_date],SMALL(IF(ISNUMBER(MATCH(orderHistory[status],$D$11,0)),MATCH(ROW(orderHistory[customer]),ROW(orderHistory[customer])),""),ROWS($A$15:A34)+$B$3)),INDEX(orderHistory[invoice_date],SMALL(IF(ISNUMBER(MATCH(orderHistory[status],$D$11,0)*MATCH(orderHistory[order_type],$D$13,0)),MATCH(ROW(orderHistory[customer]),ROW(orderHistory[customer])),""),ROWS($A$15:A34)+$B$3)))),IF($D$11="",IF($D$13="",INDEX(orderHistory[invoice_date],SMALL(IF(ISNUMBER(MATCH(orderHistory[customer],$D$9,0)),MATCH(ROW(orderHistory[customer]),ROW(orderHistory[customer])),""),ROWS($A$15:A34)+$B$3)),INDEX(orderHistory[invoice_date],SMALL(IF(ISNUMBER(MATCH(orderHistory[customer],$D$9,0)*MATCH(orderHistory[order_type],$D$13,0)),MATCH(ROW(orderHistory[customer]),ROW(orderHistory[customer])),""),ROWS($A$15:A34)+$B$3))),IF($D$13="",INDEX(orderHistory[invoice_date],SMALL(IF(ISNUMBER(MATCH(orderHistory[customer],$D$9,0)*MATCH(orderHistory[status],$D$11,0)),MATCH(ROW(orderHistory[customer]),ROW(orderHistory[customer])),""),ROWS($A$15:A34)+$B$3)),INDEX(orderHistory[invoice_date],SMALL(IF(ISNUMBER(MATCH(orderHistory[customer],$D$9,0)*MATCH(orderHistory[status],$D$11,0)*MATCH(orderHistory[order_type],$D$13,0)),MATCH(ROW(orderHistory[customer]),ROW(orderHistory[customer])),""),ROWS($A$15:A34)+$B$3))))),""))</f>
        <v>45300</v>
      </c>
      <c r="R29" s="377">
        <f t="array" ref="R29">IFERROR(IF($D$9="",IF($D$11="",IF($D$13="",INDEX(orderHistory[inv_amount],SMALL(MATCH(ROW(orderHistory[customer]),ROW(orderHistory[customer])),ROWS($A$15:A34)+$B$3)),INDEX(orderHistory[inv_amount],SMALL(IF(ISNUMBER(MATCH(orderHistory[order_type],$D$13,0)),MATCH(ROW(orderHistory[customer]),ROW(orderHistory[customer])),""),ROWS($A$15:A34)+$B$3))),IF($D$13="",INDEX(orderHistory[inv_amount],SMALL(IF(ISNUMBER(MATCH(orderHistory[status],$D$11,0)),MATCH(ROW(orderHistory[customer]),ROW(orderHistory[customer])),""),ROWS($A$15:A34)+$B$3)),INDEX(orderHistory[inv_amount],SMALL(IF(ISNUMBER(MATCH(orderHistory[status],$D$11,0)*MATCH(orderHistory[order_type],$D$13,0)),MATCH(ROW(orderHistory[customer]),ROW(orderHistory[customer])),""),ROWS($A$15:A34)+$B$3)))),IF($D$11="",IF($D$13="",INDEX(orderHistory[inv_amount],SMALL(IF(ISNUMBER(MATCH(orderHistory[customer],$D$9,0)),MATCH(ROW(orderHistory[customer]),ROW(orderHistory[customer])),""),ROWS($A$15:A34)+$B$3)),INDEX(orderHistory[inv_amount],SMALL(IF(ISNUMBER(MATCH(orderHistory[customer],$D$9,0)*MATCH(orderHistory[order_type],$D$13,0)),MATCH(ROW(orderHistory[customer]),ROW(orderHistory[customer])),""),ROWS($A$15:A34)+$B$3))),IF($D$13="",INDEX(orderHistory[inv_amount],SMALL(IF(ISNUMBER(MATCH(orderHistory[customer],$D$9,0)*MATCH(orderHistory[status],$D$11,0)),MATCH(ROW(orderHistory[customer]),ROW(orderHistory[customer])),""),ROWS($A$15:A34)+$B$3)),INDEX(orderHistory[inv_amount],SMALL(IF(ISNUMBER(MATCH(orderHistory[customer],$D$9,0)*MATCH(orderHistory[status],$D$11,0)*MATCH(orderHistory[order_type],$D$13,0)),MATCH(ROW(orderHistory[customer]),ROW(orderHistory[customer])),""),ROWS($A$15:A34)+$B$3))))),"")</f>
        <v>53721.599999999999</v>
      </c>
      <c r="S29" s="383">
        <f t="shared" si="0"/>
        <v>3760.5120000000002</v>
      </c>
      <c r="T29" s="385" t="b">
        <f t="array" ref="T29">IFERROR(IF($D$9="",IF($D$11="",IF($D$13="",INDEX(orderHistory[payed],SMALL(MATCH(ROW(orderHistory[customer]),ROW(orderHistory[customer])),ROWS($A$15:A34)+$B$3)),INDEX(orderHistory[payed],SMALL(IF(ISNUMBER(MATCH(orderHistory[order_type],$D$13,0)),MATCH(ROW(orderHistory[customer]),ROW(orderHistory[customer])),""),ROWS($A$15:A34)+$B$3))),IF($D$13="",INDEX(orderHistory[payed],SMALL(IF(ISNUMBER(MATCH(orderHistory[status],$D$11,0)),MATCH(ROW(orderHistory[customer]),ROW(orderHistory[customer])),""),ROWS($A$15:A34)+$B$3)),INDEX(orderHistory[payed],SMALL(IF(ISNUMBER(MATCH(orderHistory[status],$D$11,0)*MATCH(orderHistory[order_type],$D$13,0)),MATCH(ROW(orderHistory[customer]),ROW(orderHistory[customer])),""),ROWS($A$15:A34)+$B$3)))),IF($D$11="",IF($D$13="",INDEX(orderHistory[payed],SMALL(IF(ISNUMBER(MATCH(orderHistory[customer],$D$9,0)),MATCH(ROW(orderHistory[customer]),ROW(orderHistory[customer])),""),ROWS($A$15:A34)+$B$3)),INDEX(orderHistory[payed],SMALL(IF(ISNUMBER(MATCH(orderHistory[customer],$D$9,0)*MATCH(orderHistory[order_type],$D$13,0)),MATCH(ROW(orderHistory[customer]),ROW(orderHistory[customer])),""),ROWS($A$15:A34)+$B$3))),IF($D$13="",INDEX(orderHistory[payed],SMALL(IF(ISNUMBER(MATCH(orderHistory[customer],$D$9,0)*MATCH(orderHistory[status],$D$11,0)),MATCH(ROW(orderHistory[customer]),ROW(orderHistory[customer])),""),ROWS($A$15:A34)+$B$3)),INDEX(orderHistory[payed],SMALL(IF(ISNUMBER(MATCH(orderHistory[customer],$D$9,0)*MATCH(orderHistory[status],$D$11,0)*MATCH(orderHistory[order_type],$D$13,0)),MATCH(ROW(orderHistory[customer]),ROW(orderHistory[customer])),""),ROWS($A$15:A34)+$B$3))))),"")</f>
        <v>1</v>
      </c>
      <c r="U29" s="386" t="str">
        <f t="array" ref="U29">IFERROR(IF($D$9="",IF($D$11="",IF($D$13="",INDEX(orderHistory[shipping_method],SMALL(MATCH(ROW(orderHistory[customer]),ROW(orderHistory[customer])),ROWS($A$15:A34)+$B$3)),INDEX(orderHistory[shipping_method],SMALL(IF(ISNUMBER(MATCH(orderHistory[order_type],$D$13,0)),MATCH(ROW(orderHistory[customer]),ROW(orderHistory[customer])),""),ROWS($A$15:A34)+$B$3))),IF($D$13="",INDEX(orderHistory[shipping_method],SMALL(IF(ISNUMBER(MATCH(orderHistory[status],$D$11,0)),MATCH(ROW(orderHistory[customer]),ROW(orderHistory[customer])),""),ROWS($A$15:A34)+$B$3)),INDEX(orderHistory[shipping_method],SMALL(IF(ISNUMBER(MATCH(orderHistory[status],$D$11,0)*MATCH(orderHistory[order_type],$D$13,0)),MATCH(ROW(orderHistory[customer]),ROW(orderHistory[customer])),""),ROWS($A$15:A34)+$B$3)))),IF($D$11="",IF($D$13="",INDEX(orderHistory[shipping_method],SMALL(IF(ISNUMBER(MATCH(orderHistory[customer],$D$9,0)),MATCH(ROW(orderHistory[customer]),ROW(orderHistory[customer])),""),ROWS($A$15:A34)+$B$3)),INDEX(orderHistory[shipping_method],SMALL(IF(ISNUMBER(MATCH(orderHistory[customer],$D$9,0)*MATCH(orderHistory[order_type],$D$13,0)),MATCH(ROW(orderHistory[customer]),ROW(orderHistory[customer])),""),ROWS($A$15:A34)+$B$3))),IF($D$13="",INDEX(orderHistory[shipping_method],SMALL(IF(ISNUMBER(MATCH(orderHistory[customer],$D$9,0)*MATCH(orderHistory[status],$D$11,0)),MATCH(ROW(orderHistory[customer]),ROW(orderHistory[customer])),""),ROWS($A$15:A34)+$B$3)),INDEX(orderHistory[shipping_method],SMALL(IF(ISNUMBER(MATCH(orderHistory[customer],$D$9,0)*MATCH(orderHistory[status],$D$11,0)*MATCH(orderHistory[order_type],$D$13,0)),MATCH(ROW(orderHistory[customer]),ROW(orderHistory[customer])),""),ROWS($A$15:A34)+$B$3))))),"")</f>
        <v>BY ROAD</v>
      </c>
      <c r="V29" s="387" t="str">
        <f t="array" ref="V29">IFERROR(IF($D$9="",IF($D$11="",IF($D$13="",INDEX(orderHistory[status],SMALL(MATCH(ROW(orderHistory[customer]),ROW(orderHistory[customer])),ROWS($A$15:A34)+$B$3)),INDEX(orderHistory[status],SMALL(IF(ISNUMBER(MATCH(orderHistory[order_type],$D$13,0)),MATCH(ROW(orderHistory[customer]),ROW(orderHistory[customer])),""),ROWS($A$15:A34)+$B$3))),IF($D$13="",INDEX(orderHistory[status],SMALL(IF(ISNUMBER(MATCH(orderHistory[status],$D$11,0)),MATCH(ROW(orderHistory[customer]),ROW(orderHistory[customer])),""),ROWS($A$15:A34)+$B$3)),INDEX(orderHistory[status],SMALL(IF(ISNUMBER(MATCH(orderHistory[status],$D$11,0)*MATCH(orderHistory[order_type],$D$13,0)),MATCH(ROW(orderHistory[customer]),ROW(orderHistory[customer])),""),ROWS($A$15:A34)+$B$3)))),IF($D$11="",IF($D$13="",INDEX(orderHistory[status],SMALL(IF(ISNUMBER(MATCH(orderHistory[customer],$D$9,0)),MATCH(ROW(orderHistory[customer]),ROW(orderHistory[customer])),""),ROWS($A$15:A34)+$B$3)),INDEX(orderHistory[status],SMALL(IF(ISNUMBER(MATCH(orderHistory[customer],$D$9,0)*MATCH(orderHistory[order_type],$D$13,0)),MATCH(ROW(orderHistory[customer]),ROW(orderHistory[customer])),""),ROWS($A$15:A34)+$B$3))),IF($D$13="",INDEX(orderHistory[status],SMALL(IF(ISNUMBER(MATCH(orderHistory[customer],$D$9,0)*MATCH(orderHistory[status],$D$11,0)),MATCH(ROW(orderHistory[customer]),ROW(orderHistory[customer])),""),ROWS($A$15:A34)+$B$3)),INDEX(orderHistory[status],SMALL(IF(ISNUMBER(MATCH(orderHistory[customer],$D$9,0)*MATCH(orderHistory[status],$D$11,0)*MATCH(orderHistory[order_type],$D$13,0)),MATCH(ROW(orderHistory[customer]),ROW(orderHistory[customer])),""),ROWS($A$15:A34)+$B$3))))),"")</f>
        <v>SHIPPED</v>
      </c>
      <c r="W29" s="111"/>
      <c r="AQ29" s="125" t="s">
        <v>728</v>
      </c>
      <c r="AR29" s="405">
        <v>1</v>
      </c>
      <c r="AS29" s="370" t="s">
        <v>725</v>
      </c>
      <c r="AT29" s="403" t="s">
        <v>1305</v>
      </c>
      <c r="AU29" s="121"/>
      <c r="AW29" s="131"/>
      <c r="AX29" s="913" t="s">
        <v>471</v>
      </c>
      <c r="AY29" s="914"/>
      <c r="AZ29" s="120"/>
      <c r="BA29" s="120"/>
      <c r="BB29" s="950"/>
      <c r="BC29" s="951"/>
      <c r="BD29" s="951"/>
      <c r="BE29" s="951"/>
      <c r="BF29" s="951"/>
      <c r="BG29" s="951"/>
      <c r="BH29" s="952"/>
      <c r="BI29" s="291"/>
      <c r="BJ29" s="121"/>
      <c r="BK29" s="146"/>
      <c r="BL29" s="147"/>
      <c r="BM29" s="148"/>
      <c r="BN29" s="147"/>
      <c r="BO29" s="148"/>
      <c r="BZ29" s="295"/>
      <c r="CA29" s="270" t="str">
        <f>IF(BZ29="","",VLOOKUP(BZ29,bhpc_data[],7,FALSE))</f>
        <v/>
      </c>
      <c r="CB29" s="296"/>
      <c r="CC29" s="642"/>
      <c r="CD29" s="297"/>
      <c r="CE29" s="645"/>
      <c r="CF29" s="298"/>
      <c r="CG29" s="301" t="str">
        <f>IFERROR(ROUNDUP(CB29/VLOOKUP(BZ29,bhpc_data[],9,FALSE),0)+ROUNDUP(CD29/VLOOKUP(BZ29,bhpc_data[],9,FALSE),0),"")</f>
        <v/>
      </c>
      <c r="CH29" s="302" t="str">
        <f>IFERROR(ROUNDUP(CD29/VLOOKUP(BZ29,bhpc_data[],9,FALSE),0),"")</f>
        <v/>
      </c>
      <c r="CI29" s="302" t="str">
        <f>IFERROR(ROUNDUP(CF29/VLOOKUP(BZ29,bhpc_data[],9,FALSE),0),"")</f>
        <v/>
      </c>
      <c r="CJ29" s="302" t="str">
        <f>IFERROR(((CB29+CD29+CF29)/VLOOKUP(BZ29,bhpc_data[],9,FALSE))*VLOOKUP(BZ29,bhpc_data[],17,FALSE),"")</f>
        <v/>
      </c>
      <c r="CK29" s="302" t="str">
        <f>IFERROR(((CB29+CD29+CF29)/VLOOKUP(BZ29,bhpc_data[],9,FALSE))*VLOOKUP(BZ29,bhpc_data[],18,FALSE),"")</f>
        <v/>
      </c>
      <c r="CL29" s="346" t="str">
        <f>IFERROR((CB29+CD29)/VLOOKUP(BZ29,bhpc_data[],9,FALSE)*VLOOKUP(BZ29,bhpc_data[],14,FALSE)*VLOOKUP(BZ29,bhpc_data[],15,FALSE)*VLOOKUP(BZ29,bhpc_data[],16,FALSE)/1000000000,"")</f>
        <v/>
      </c>
      <c r="CM29" s="409" t="str">
        <f>IFERROR(VLOOKUP(BZ29,bhpc_data[],2,FALSE),"")</f>
        <v/>
      </c>
      <c r="CN29" s="409" t="str">
        <f>IFERROR(VLOOKUP(BZ29,bhpc_data[],19,FALSE),"")</f>
        <v/>
      </c>
      <c r="CO29" s="653" t="str">
        <f>IFERROR(VLOOKUP(BZ29,bhpc_data[],6,FALSE),"")</f>
        <v/>
      </c>
      <c r="CP29" s="654" t="str">
        <f>IFERROR(VLOOKUP(BZ29,inventory[],4,FALSE),"")</f>
        <v/>
      </c>
      <c r="CQ29" s="651" t="str">
        <f>IFERROR(IF(BZ29="","",IF($BX$15="SALE",VLOOKUP(BZ29,inventory[],5,FALSE),IF($BX$15="SAMPLING",VLOOKUP(BZ29,inventory[],5,FALSE),""))),"")</f>
        <v/>
      </c>
      <c r="CR29" s="652" t="str">
        <f>IFERROR(IF(BZ29="","",(CB29+CD29+CF29)*CQ29),"")</f>
        <v/>
      </c>
      <c r="CS29" s="557" t="str">
        <f>IF(BZ29="","",CB29*CC29+CD29*CE29)</f>
        <v/>
      </c>
      <c r="CU29" s="125"/>
      <c r="CV29" s="365" t="s">
        <v>1005</v>
      </c>
      <c r="CW29" s="622" t="s">
        <v>75</v>
      </c>
      <c r="CX29" s="623">
        <f>SUM(bhpc_data[33030010])</f>
        <v>284.40000000000003</v>
      </c>
      <c r="CY29" s="552"/>
      <c r="CZ29" s="121"/>
      <c r="DA29" s="540" t="str">
        <f>IFERROR(VLOOKUP(BZ29,bhpc_data[],22,FALSE),"")</f>
        <v/>
      </c>
      <c r="DF29" s="206" t="s">
        <v>729</v>
      </c>
      <c r="EE29" s="453" t="s">
        <v>82</v>
      </c>
      <c r="EF29" s="447" t="str">
        <f>VLOOKUP(EE29,bhpc_data[],7,FALSE)</f>
        <v>BHPC SPORT MEN 2 EDT 50ML</v>
      </c>
      <c r="EG29" s="555">
        <f>IFERROR(VLOOKUP(EE29,inventory[],4,FALSE),0)</f>
        <v>301</v>
      </c>
      <c r="EH29" s="555">
        <f>IFERROR(VLOOKUP(warehouse[[#This Row],[SKU]],$EQ$10:$ES$38,3,FALSE),0)</f>
        <v>4608</v>
      </c>
      <c r="EI29" s="555">
        <f>IFERROR(VLOOKUP(warehouse[[#This Row],[SKU]],$EM$10:$EO$61,3,FALSE),0)</f>
        <v>0</v>
      </c>
      <c r="EJ29" s="555">
        <f>warehouse[[#This Row],[T-1]]+warehouse[[#This Row],[SUPPLY]]-warehouse[[#This Row],[SALE + SAMPLING]]</f>
        <v>4909</v>
      </c>
      <c r="EM29" s="74" t="s">
        <v>180</v>
      </c>
      <c r="EN29" s="74" t="s">
        <v>181</v>
      </c>
      <c r="EO29" s="431">
        <v>10368</v>
      </c>
      <c r="EQ29" s="74" t="s">
        <v>907</v>
      </c>
      <c r="ER29" s="74" t="s">
        <v>1131</v>
      </c>
      <c r="ES29" s="446">
        <v>5016</v>
      </c>
    </row>
    <row r="30" spans="1:149" ht="15" customHeight="1" thickBot="1">
      <c r="D30" s="674"/>
      <c r="F30" s="71" t="str">
        <f>IF($B$6="",IF($D$9="","Select a order to visualize more data",CONCATENATE("More data for """,$D$9,"""")),CONCATENATE("More data for """,$B$6,"""","; Order #",$B$4))</f>
        <v>More data for "DRUNI"; Order #4</v>
      </c>
      <c r="L30" s="274" t="str">
        <f t="array" ref="L30">IFERROR(IF($D$9="",IF($D$11="",IF($D$13="",INDEX(orderHistory[customer],SMALL(MATCH(ROW(orderHistory[customer]),ROW(orderHistory[customer])),ROWS($A$15:A35)+$B$3)),INDEX(orderHistory[customer],SMALL(IF(ISNUMBER(MATCH(orderHistory[order_type],$D$13,0)),MATCH(ROW(orderHistory[customer]),ROW(orderHistory[customer])),""),ROWS($A$15:A35)+$B$3))),IF($D$13="",INDEX(orderHistory[customer],SMALL(IF(ISNUMBER(MATCH(orderHistory[status],$D$11,0)),MATCH(ROW(orderHistory[customer]),ROW(orderHistory[customer])),""),ROWS($A$15:A35)+$B$3)),INDEX(orderHistory[customer],SMALL(IF(ISNUMBER(MATCH(orderHistory[status],$D$11,0)*MATCH(orderHistory[order_type],$D$13,0)),MATCH(ROW(orderHistory[customer]),ROW(orderHistory[customer])),""),ROWS($A$15:A35)+$B$3)))),IF($D$11="",IF($D$13="",INDEX(orderHistory[customer],SMALL(IF(ISNUMBER(MATCH(orderHistory[customer],$D$9,0)),MATCH(ROW(orderHistory[customer]),ROW(orderHistory[customer])),""),ROWS($A$15:A35)+$B$3)),INDEX(orderHistory[customer],SMALL(IF(ISNUMBER(MATCH(orderHistory[customer],$D$9,0)*MATCH(orderHistory[order_type],$D$13,0)),MATCH(ROW(orderHistory[customer]),ROW(orderHistory[customer])),""),ROWS($A$15:A35)+$B$3))),IF($D$13="",INDEX(orderHistory[customer],SMALL(IF(ISNUMBER(MATCH(orderHistory[customer],$D$9,0)*MATCH(orderHistory[status],$D$11,0)),MATCH(ROW(orderHistory[customer]),ROW(orderHistory[customer])),""),ROWS($A$15:A35)+$B$3)),INDEX(orderHistory[customer],SMALL(IF(ISNUMBER(MATCH(orderHistory[customer],$D$9,0)*MATCH(orderHistory[status],$D$11,0)*MATCH(orderHistory[order_type],$D$13,0)),MATCH(ROW(orderHistory[customer]),ROW(orderHistory[customer])),""),ROWS($A$15:A35)+$B$3))))),"")</f>
        <v>4BEAUTY4YOU</v>
      </c>
      <c r="M30" s="391">
        <f t="array" ref="M30">IFERROR(IF($D$9="",IF($D$11="",IF($D$13="",INDEX(orderHistory[order_no],SMALL(MATCH(ROW(orderHistory[customer]),ROW(orderHistory[customer])),ROWS($A$15:A35)+$B$3)),INDEX(orderHistory[order_no],SMALL(IF(ISNUMBER(MATCH(orderHistory[order_type],$D$13,0)),MATCH(ROW(orderHistory[customer]),ROW(orderHistory[customer])),""),ROWS($A$15:A35)+$B$3))),IF($D$13="",INDEX(orderHistory[order_no],SMALL(IF(ISNUMBER(MATCH(orderHistory[status],$D$11,0)),MATCH(ROW(orderHistory[customer]),ROW(orderHistory[customer])),""),ROWS($A$15:A35)+$B$3)),INDEX(orderHistory[order_no],SMALL(IF(ISNUMBER(MATCH(orderHistory[status],$D$11,0)*MATCH(orderHistory[order_type],$D$13,0)),MATCH(ROW(orderHistory[customer]),ROW(orderHistory[customer])),""),ROWS($A$15:A35)+$B$3)))),IF($D$11="",IF($D$13="",INDEX(orderHistory[order_no],SMALL(IF(ISNUMBER(MATCH(orderHistory[customer],$D$9,0)),MATCH(ROW(orderHistory[customer]),ROW(orderHistory[customer])),""),ROWS($A$15:A35)+$B$3)),INDEX(orderHistory[order_no],SMALL(IF(ISNUMBER(MATCH(orderHistory[customer],$D$9,0)*MATCH(orderHistory[order_type],$D$13,0)),MATCH(ROW(orderHistory[customer]),ROW(orderHistory[customer])),""),ROWS($A$15:A35)+$B$3))),IF($D$13="",INDEX(orderHistory[order_no],SMALL(IF(ISNUMBER(MATCH(orderHistory[customer],$D$9,0)*MATCH(orderHistory[status],$D$11,0)),MATCH(ROW(orderHistory[customer]),ROW(orderHistory[customer])),""),ROWS($A$15:A35)+$B$3)),INDEX(orderHistory[order_no],SMALL(IF(ISNUMBER(MATCH(orderHistory[customer],$D$9,0)*MATCH(orderHistory[status],$D$11,0)*MATCH(orderHistory[order_type],$D$13,0)),MATCH(ROW(orderHistory[customer]),ROW(orderHistory[customer])),""),ROWS($A$15:A35)+$B$3))))),"")</f>
        <v>2</v>
      </c>
      <c r="N30" s="386" t="str">
        <f t="array" ref="N30">IFERROR(IF($D$9="",IF($D$11="",IF($D$13="",INDEX(orderHistory[order_type],SMALL(MATCH(ROW(orderHistory[customer]),ROW(orderHistory[customer])),ROWS($A$15:A35)+$B$3)),INDEX(orderHistory[order_type],SMALL(IF(ISNUMBER(MATCH(orderHistory[order_type],$D$13,0)),MATCH(ROW(orderHistory[customer]),ROW(orderHistory[customer])),""),ROWS($A$15:A35)+$B$3))),IF($D$13="",INDEX(orderHistory[order_type],SMALL(IF(ISNUMBER(MATCH(orderHistory[status],$D$11,0)),MATCH(ROW(orderHistory[customer]),ROW(orderHistory[customer])),""),ROWS($A$15:A35)+$B$3)),INDEX(orderHistory[order_type],SMALL(IF(ISNUMBER(MATCH(orderHistory[status],$D$11,0)*MATCH(orderHistory[order_type],$D$13,0)),MATCH(ROW(orderHistory[customer]),ROW(orderHistory[customer])),""),ROWS($A$15:A35)+$B$3)))),IF($D$11="",IF($D$13="",INDEX(orderHistory[order_type],SMALL(IF(ISNUMBER(MATCH(orderHistory[customer],$D$9,0)),MATCH(ROW(orderHistory[customer]),ROW(orderHistory[customer])),""),ROWS($A$15:A35)+$B$3)),INDEX(orderHistory[order_type],SMALL(IF(ISNUMBER(MATCH(orderHistory[customer],$D$9,0)*MATCH(orderHistory[order_type],$D$13,0)),MATCH(ROW(orderHistory[customer]),ROW(orderHistory[customer])),""),ROWS($A$15:A35)+$B$3))),IF($D$13="",INDEX(orderHistory[order_type],SMALL(IF(ISNUMBER(MATCH(orderHistory[customer],$D$9,0)*MATCH(orderHistory[status],$D$11,0)),MATCH(ROW(orderHistory[customer]),ROW(orderHistory[customer])),""),ROWS($A$15:A35)+$B$3)),INDEX(orderHistory[order_type],SMALL(IF(ISNUMBER(MATCH(orderHistory[customer],$D$9,0)*MATCH(orderHistory[status],$D$11,0)*MATCH(orderHistory[order_type],$D$13,0)),MATCH(ROW(orderHistory[customer]),ROW(orderHistory[customer])),""),ROWS($A$15:A35)+$B$3))))),"")</f>
        <v>SALE</v>
      </c>
      <c r="O30" s="275">
        <f t="array" ref="O30">IFERROR(IF($D$9="",IF($D$11="",IF($D$13="",INDEX(orderHistory[order_date],SMALL(MATCH(ROW(orderHistory[customer]),ROW(orderHistory[customer])),ROWS($A$15:A35)+$B$3)),INDEX(orderHistory[order_date],SMALL(IF(ISNUMBER(MATCH(orderHistory[order_type],$D$13,0)),MATCH(ROW(orderHistory[customer]),ROW(orderHistory[customer])),""),ROWS($A$15:A35)+$B$3))),IF($D$13="",INDEX(orderHistory[order_date],SMALL(IF(ISNUMBER(MATCH(orderHistory[status],$D$11,0)),MATCH(ROW(orderHistory[customer]),ROW(orderHistory[customer])),""),ROWS($A$15:A35)+$B$3)),INDEX(orderHistory[order_date],SMALL(IF(ISNUMBER(MATCH(orderHistory[status],$D$11,0)*MATCH(orderHistory[order_type],$D$13,0)),MATCH(ROW(orderHistory[customer]),ROW(orderHistory[customer])),""),ROWS($A$15:A35)+$B$3)))),IF($D$11="",IF($D$13="",INDEX(orderHistory[order_date],SMALL(IF(ISNUMBER(MATCH(orderHistory[customer],$D$9,0)),MATCH(ROW(orderHistory[customer]),ROW(orderHistory[customer])),""),ROWS($A$15:A35)+$B$3)),INDEX(orderHistory[order_date],SMALL(IF(ISNUMBER(MATCH(orderHistory[customer],$D$9,0)*MATCH(orderHistory[order_type],$D$13,0)),MATCH(ROW(orderHistory[customer]),ROW(orderHistory[customer])),""),ROWS($A$15:A35)+$B$3))),IF($D$13="",INDEX(orderHistory[order_date],SMALL(IF(ISNUMBER(MATCH(orderHistory[customer],$D$9,0)*MATCH(orderHistory[status],$D$11,0)),MATCH(ROW(orderHistory[customer]),ROW(orderHistory[customer])),""),ROWS($A$15:A35)+$B$3)),INDEX(orderHistory[order_date],SMALL(IF(ISNUMBER(MATCH(orderHistory[customer],$D$9,0)*MATCH(orderHistory[status],$D$11,0)*MATCH(orderHistory[order_type],$D$13,0)),MATCH(ROW(orderHistory[customer]),ROW(orderHistory[customer])),""),ROWS($A$15:A35)+$B$3))))),"")</f>
        <v>45299</v>
      </c>
      <c r="P30" s="379">
        <f t="array" ref="P30">IF(IFERROR(IF($D$9="",IF($D$11="",IF($D$13="",INDEX(orderHistory[invoice_no],SMALL(MATCH(ROW(orderHistory[customer]),ROW(orderHistory[customer])),ROWS($A$15:A35)+$B$3)),INDEX(orderHistory[invoice_no],SMALL(IF(ISNUMBER(MATCH(orderHistory[order_type],$D$13,0)),MATCH(ROW(orderHistory[customer]),ROW(orderHistory[customer])),""),ROWS($A$15:A35)+$B$3))),IF($D$13="",INDEX(orderHistory[invoice_no],SMALL(IF(ISNUMBER(MATCH(orderHistory[status],$D$11,0)),MATCH(ROW(orderHistory[customer]),ROW(orderHistory[customer])),""),ROWS($A$15:A35)+$B$3)),INDEX(orderHistory[invoice_no],SMALL(IF(ISNUMBER(MATCH(orderHistory[status],$D$11,0)*MATCH(orderHistory[order_type],$D$13,0)),MATCH(ROW(orderHistory[customer]),ROW(orderHistory[customer])),""),ROWS($A$15:A35)+$B$3)))),IF($D$11="",IF($D$13="",INDEX(orderHistory[invoice_no],SMALL(IF(ISNUMBER(MATCH(orderHistory[customer],$D$9,0)),MATCH(ROW(orderHistory[customer]),ROW(orderHistory[customer])),""),ROWS($A$15:A35)+$B$3)),INDEX(orderHistory[invoice_no],SMALL(IF(ISNUMBER(MATCH(orderHistory[customer],$D$9,0)*MATCH(orderHistory[order_type],$D$13,0)),MATCH(ROW(orderHistory[customer]),ROW(orderHistory[customer])),""),ROWS($A$15:A35)+$B$3))),IF($D$13="",INDEX(orderHistory[invoice_no],SMALL(IF(ISNUMBER(MATCH(orderHistory[customer],$D$9,0)*MATCH(orderHistory[status],$D$11,0)),MATCH(ROW(orderHistory[customer]),ROW(orderHistory[customer])),""),ROWS($A$15:A35)+$B$3)),INDEX(orderHistory[invoice_no],SMALL(IF(ISNUMBER(MATCH(orderHistory[customer],$D$9,0)*MATCH(orderHistory[status],$D$11,0)*MATCH(orderHistory[order_type],$D$13,0)),MATCH(ROW(orderHistory[customer]),ROW(orderHistory[customer])),""),ROWS($A$15:A35)+$B$3))))),"")=0,"",IFERROR(IF($D$9="",IF($D$11="",IF($D$13="",INDEX(orderHistory[invoice_no],SMALL(MATCH(ROW(orderHistory[customer]),ROW(orderHistory[customer])),ROWS($A$15:A35)+$B$3)),INDEX(orderHistory[invoice_no],SMALL(IF(ISNUMBER(MATCH(orderHistory[order_type],$D$13,0)),MATCH(ROW(orderHistory[customer]),ROW(orderHistory[customer])),""),ROWS($A$15:A35)+$B$3))),IF($D$13="",INDEX(orderHistory[invoice_no],SMALL(IF(ISNUMBER(MATCH(orderHistory[status],$D$11,0)),MATCH(ROW(orderHistory[customer]),ROW(orderHistory[customer])),""),ROWS($A$15:A35)+$B$3)),INDEX(orderHistory[invoice_no],SMALL(IF(ISNUMBER(MATCH(orderHistory[status],$D$11,0)*MATCH(orderHistory[order_type],$D$13,0)),MATCH(ROW(orderHistory[customer]),ROW(orderHistory[customer])),""),ROWS($A$15:A35)+$B$3)))),IF($D$11="",IF($D$13="",INDEX(orderHistory[invoice_no],SMALL(IF(ISNUMBER(MATCH(orderHistory[customer],$D$9,0)),MATCH(ROW(orderHistory[customer]),ROW(orderHistory[customer])),""),ROWS($A$15:A35)+$B$3)),INDEX(orderHistory[invoice_no],SMALL(IF(ISNUMBER(MATCH(orderHistory[customer],$D$9,0)*MATCH(orderHistory[order_type],$D$13,0)),MATCH(ROW(orderHistory[customer]),ROW(orderHistory[customer])),""),ROWS($A$15:A35)+$B$3))),IF($D$13="",INDEX(orderHistory[invoice_no],SMALL(IF(ISNUMBER(MATCH(orderHistory[customer],$D$9,0)*MATCH(orderHistory[status],$D$11,0)),MATCH(ROW(orderHistory[customer]),ROW(orderHistory[customer])),""),ROWS($A$15:A35)+$B$3)),INDEX(orderHistory[invoice_no],SMALL(IF(ISNUMBER(MATCH(orderHistory[customer],$D$9,0)*MATCH(orderHistory[status],$D$11,0)*MATCH(orderHistory[order_type],$D$13,0)),MATCH(ROW(orderHistory[customer]),ROW(orderHistory[customer])),""),ROWS($A$15:A35)+$B$3))))),""))</f>
        <v>3</v>
      </c>
      <c r="Q30" s="381">
        <f t="array" ref="Q30">IF(IFERROR(IF($D$9="",IF($D$11="",IF($D$13="",INDEX(orderHistory[invoice_date],SMALL(MATCH(ROW(orderHistory[customer]),ROW(orderHistory[customer])),ROWS($A$15:A35)+$B$3)),INDEX(orderHistory[invoice_date],SMALL(IF(ISNUMBER(MATCH(orderHistory[order_type],$D$13,0)),MATCH(ROW(orderHistory[customer]),ROW(orderHistory[customer])),""),ROWS($A$15:A35)+$B$3))),IF($D$13="",INDEX(orderHistory[invoice_date],SMALL(IF(ISNUMBER(MATCH(orderHistory[status],$D$11,0)),MATCH(ROW(orderHistory[customer]),ROW(orderHistory[customer])),""),ROWS($A$15:A35)+$B$3)),INDEX(orderHistory[invoice_date],SMALL(IF(ISNUMBER(MATCH(orderHistory[status],$D$11,0)*MATCH(orderHistory[order_type],$D$13,0)),MATCH(ROW(orderHistory[customer]),ROW(orderHistory[customer])),""),ROWS($A$15:A35)+$B$3)))),IF($D$11="",IF($D$13="",INDEX(orderHistory[invoice_date],SMALL(IF(ISNUMBER(MATCH(orderHistory[customer],$D$9,0)),MATCH(ROW(orderHistory[customer]),ROW(orderHistory[customer])),""),ROWS($A$15:A35)+$B$3)),INDEX(orderHistory[invoice_date],SMALL(IF(ISNUMBER(MATCH(orderHistory[customer],$D$9,0)*MATCH(orderHistory[order_type],$D$13,0)),MATCH(ROW(orderHistory[customer]),ROW(orderHistory[customer])),""),ROWS($A$15:A35)+$B$3))),IF($D$13="",INDEX(orderHistory[invoice_date],SMALL(IF(ISNUMBER(MATCH(orderHistory[customer],$D$9,0)*MATCH(orderHistory[status],$D$11,0)),MATCH(ROW(orderHistory[customer]),ROW(orderHistory[customer])),""),ROWS($A$15:A35)+$B$3)),INDEX(orderHistory[invoice_date],SMALL(IF(ISNUMBER(MATCH(orderHistory[customer],$D$9,0)*MATCH(orderHistory[status],$D$11,0)*MATCH(orderHistory[order_type],$D$13,0)),MATCH(ROW(orderHistory[customer]),ROW(orderHistory[customer])),""),ROWS($A$15:A35)+$B$3))))),"")=0,"",IFERROR(IF($D$9="",IF($D$11="",IF($D$13="",INDEX(orderHistory[invoice_date],SMALL(MATCH(ROW(orderHistory[customer]),ROW(orderHistory[customer])),ROWS($A$15:A35)+$B$3)),INDEX(orderHistory[invoice_date],SMALL(IF(ISNUMBER(MATCH(orderHistory[order_type],$D$13,0)),MATCH(ROW(orderHistory[customer]),ROW(orderHistory[customer])),""),ROWS($A$15:A35)+$B$3))),IF($D$13="",INDEX(orderHistory[invoice_date],SMALL(IF(ISNUMBER(MATCH(orderHistory[status],$D$11,0)),MATCH(ROW(orderHistory[customer]),ROW(orderHistory[customer])),""),ROWS($A$15:A35)+$B$3)),INDEX(orderHistory[invoice_date],SMALL(IF(ISNUMBER(MATCH(orderHistory[status],$D$11,0)*MATCH(orderHistory[order_type],$D$13,0)),MATCH(ROW(orderHistory[customer]),ROW(orderHistory[customer])),""),ROWS($A$15:A35)+$B$3)))),IF($D$11="",IF($D$13="",INDEX(orderHistory[invoice_date],SMALL(IF(ISNUMBER(MATCH(orderHistory[customer],$D$9,0)),MATCH(ROW(orderHistory[customer]),ROW(orderHistory[customer])),""),ROWS($A$15:A35)+$B$3)),INDEX(orderHistory[invoice_date],SMALL(IF(ISNUMBER(MATCH(orderHistory[customer],$D$9,0)*MATCH(orderHistory[order_type],$D$13,0)),MATCH(ROW(orderHistory[customer]),ROW(orderHistory[customer])),""),ROWS($A$15:A35)+$B$3))),IF($D$13="",INDEX(orderHistory[invoice_date],SMALL(IF(ISNUMBER(MATCH(orderHistory[customer],$D$9,0)*MATCH(orderHistory[status],$D$11,0)),MATCH(ROW(orderHistory[customer]),ROW(orderHistory[customer])),""),ROWS($A$15:A35)+$B$3)),INDEX(orderHistory[invoice_date],SMALL(IF(ISNUMBER(MATCH(orderHistory[customer],$D$9,0)*MATCH(orderHistory[status],$D$11,0)*MATCH(orderHistory[order_type],$D$13,0)),MATCH(ROW(orderHistory[customer]),ROW(orderHistory[customer])),""),ROWS($A$15:A35)+$B$3))))),""))</f>
        <v>45299</v>
      </c>
      <c r="R30" s="377">
        <f t="array" ref="R30">IFERROR(IF($D$9="",IF($D$11="",IF($D$13="",INDEX(orderHistory[inv_amount],SMALL(MATCH(ROW(orderHistory[customer]),ROW(orderHistory[customer])),ROWS($A$15:A35)+$B$3)),INDEX(orderHistory[inv_amount],SMALL(IF(ISNUMBER(MATCH(orderHistory[order_type],$D$13,0)),MATCH(ROW(orderHistory[customer]),ROW(orderHistory[customer])),""),ROWS($A$15:A35)+$B$3))),IF($D$13="",INDEX(orderHistory[inv_amount],SMALL(IF(ISNUMBER(MATCH(orderHistory[status],$D$11,0)),MATCH(ROW(orderHistory[customer]),ROW(orderHistory[customer])),""),ROWS($A$15:A35)+$B$3)),INDEX(orderHistory[inv_amount],SMALL(IF(ISNUMBER(MATCH(orderHistory[status],$D$11,0)*MATCH(orderHistory[order_type],$D$13,0)),MATCH(ROW(orderHistory[customer]),ROW(orderHistory[customer])),""),ROWS($A$15:A35)+$B$3)))),IF($D$11="",IF($D$13="",INDEX(orderHistory[inv_amount],SMALL(IF(ISNUMBER(MATCH(orderHistory[customer],$D$9,0)),MATCH(ROW(orderHistory[customer]),ROW(orderHistory[customer])),""),ROWS($A$15:A35)+$B$3)),INDEX(orderHistory[inv_amount],SMALL(IF(ISNUMBER(MATCH(orderHistory[customer],$D$9,0)*MATCH(orderHistory[order_type],$D$13,0)),MATCH(ROW(orderHistory[customer]),ROW(orderHistory[customer])),""),ROWS($A$15:A35)+$B$3))),IF($D$13="",INDEX(orderHistory[inv_amount],SMALL(IF(ISNUMBER(MATCH(orderHistory[customer],$D$9,0)*MATCH(orderHistory[status],$D$11,0)),MATCH(ROW(orderHistory[customer]),ROW(orderHistory[customer])),""),ROWS($A$15:A35)+$B$3)),INDEX(orderHistory[inv_amount],SMALL(IF(ISNUMBER(MATCH(orderHistory[customer],$D$9,0)*MATCH(orderHistory[status],$D$11,0)*MATCH(orderHistory[order_type],$D$13,0)),MATCH(ROW(orderHistory[customer]),ROW(orderHistory[customer])),""),ROWS($A$15:A35)+$B$3))))),"")</f>
        <v>83692.800000000003</v>
      </c>
      <c r="S30" s="383">
        <f t="shared" si="0"/>
        <v>5858.496000000001</v>
      </c>
      <c r="T30" s="385" t="b">
        <f t="array" ref="T30">IFERROR(IF($D$9="",IF($D$11="",IF($D$13="",INDEX(orderHistory[payed],SMALL(MATCH(ROW(orderHistory[customer]),ROW(orderHistory[customer])),ROWS($A$15:A35)+$B$3)),INDEX(orderHistory[payed],SMALL(IF(ISNUMBER(MATCH(orderHistory[order_type],$D$13,0)),MATCH(ROW(orderHistory[customer]),ROW(orderHistory[customer])),""),ROWS($A$15:A35)+$B$3))),IF($D$13="",INDEX(orderHistory[payed],SMALL(IF(ISNUMBER(MATCH(orderHistory[status],$D$11,0)),MATCH(ROW(orderHistory[customer]),ROW(orderHistory[customer])),""),ROWS($A$15:A35)+$B$3)),INDEX(orderHistory[payed],SMALL(IF(ISNUMBER(MATCH(orderHistory[status],$D$11,0)*MATCH(orderHistory[order_type],$D$13,0)),MATCH(ROW(orderHistory[customer]),ROW(orderHistory[customer])),""),ROWS($A$15:A35)+$B$3)))),IF($D$11="",IF($D$13="",INDEX(orderHistory[payed],SMALL(IF(ISNUMBER(MATCH(orderHistory[customer],$D$9,0)),MATCH(ROW(orderHistory[customer]),ROW(orderHistory[customer])),""),ROWS($A$15:A35)+$B$3)),INDEX(orderHistory[payed],SMALL(IF(ISNUMBER(MATCH(orderHistory[customer],$D$9,0)*MATCH(orderHistory[order_type],$D$13,0)),MATCH(ROW(orderHistory[customer]),ROW(orderHistory[customer])),""),ROWS($A$15:A35)+$B$3))),IF($D$13="",INDEX(orderHistory[payed],SMALL(IF(ISNUMBER(MATCH(orderHistory[customer],$D$9,0)*MATCH(orderHistory[status],$D$11,0)),MATCH(ROW(orderHistory[customer]),ROW(orderHistory[customer])),""),ROWS($A$15:A35)+$B$3)),INDEX(orderHistory[payed],SMALL(IF(ISNUMBER(MATCH(orderHistory[customer],$D$9,0)*MATCH(orderHistory[status],$D$11,0)*MATCH(orderHistory[order_type],$D$13,0)),MATCH(ROW(orderHistory[customer]),ROW(orderHistory[customer])),""),ROWS($A$15:A35)+$B$3))))),"")</f>
        <v>1</v>
      </c>
      <c r="U30" s="386" t="str">
        <f t="array" ref="U30">IFERROR(IF($D$9="",IF($D$11="",IF($D$13="",INDEX(orderHistory[shipping_method],SMALL(MATCH(ROW(orderHistory[customer]),ROW(orderHistory[customer])),ROWS($A$15:A35)+$B$3)),INDEX(orderHistory[shipping_method],SMALL(IF(ISNUMBER(MATCH(orderHistory[order_type],$D$13,0)),MATCH(ROW(orderHistory[customer]),ROW(orderHistory[customer])),""),ROWS($A$15:A35)+$B$3))),IF($D$13="",INDEX(orderHistory[shipping_method],SMALL(IF(ISNUMBER(MATCH(orderHistory[status],$D$11,0)),MATCH(ROW(orderHistory[customer]),ROW(orderHistory[customer])),""),ROWS($A$15:A35)+$B$3)),INDEX(orderHistory[shipping_method],SMALL(IF(ISNUMBER(MATCH(orderHistory[status],$D$11,0)*MATCH(orderHistory[order_type],$D$13,0)),MATCH(ROW(orderHistory[customer]),ROW(orderHistory[customer])),""),ROWS($A$15:A35)+$B$3)))),IF($D$11="",IF($D$13="",INDEX(orderHistory[shipping_method],SMALL(IF(ISNUMBER(MATCH(orderHistory[customer],$D$9,0)),MATCH(ROW(orderHistory[customer]),ROW(orderHistory[customer])),""),ROWS($A$15:A35)+$B$3)),INDEX(orderHistory[shipping_method],SMALL(IF(ISNUMBER(MATCH(orderHistory[customer],$D$9,0)*MATCH(orderHistory[order_type],$D$13,0)),MATCH(ROW(orderHistory[customer]),ROW(orderHistory[customer])),""),ROWS($A$15:A35)+$B$3))),IF($D$13="",INDEX(orderHistory[shipping_method],SMALL(IF(ISNUMBER(MATCH(orderHistory[customer],$D$9,0)*MATCH(orderHistory[status],$D$11,0)),MATCH(ROW(orderHistory[customer]),ROW(orderHistory[customer])),""),ROWS($A$15:A35)+$B$3)),INDEX(orderHistory[shipping_method],SMALL(IF(ISNUMBER(MATCH(orderHistory[customer],$D$9,0)*MATCH(orderHistory[status],$D$11,0)*MATCH(orderHistory[order_type],$D$13,0)),MATCH(ROW(orderHistory[customer]),ROW(orderHistory[customer])),""),ROWS($A$15:A35)+$B$3))))),"")</f>
        <v>BY ROAD</v>
      </c>
      <c r="V30" s="387" t="str">
        <f t="array" ref="V30">IFERROR(IF($D$9="",IF($D$11="",IF($D$13="",INDEX(orderHistory[status],SMALL(MATCH(ROW(orderHistory[customer]),ROW(orderHistory[customer])),ROWS($A$15:A35)+$B$3)),INDEX(orderHistory[status],SMALL(IF(ISNUMBER(MATCH(orderHistory[order_type],$D$13,0)),MATCH(ROW(orderHistory[customer]),ROW(orderHistory[customer])),""),ROWS($A$15:A35)+$B$3))),IF($D$13="",INDEX(orderHistory[status],SMALL(IF(ISNUMBER(MATCH(orderHistory[status],$D$11,0)),MATCH(ROW(orderHistory[customer]),ROW(orderHistory[customer])),""),ROWS($A$15:A35)+$B$3)),INDEX(orderHistory[status],SMALL(IF(ISNUMBER(MATCH(orderHistory[status],$D$11,0)*MATCH(orderHistory[order_type],$D$13,0)),MATCH(ROW(orderHistory[customer]),ROW(orderHistory[customer])),""),ROWS($A$15:A35)+$B$3)))),IF($D$11="",IF($D$13="",INDEX(orderHistory[status],SMALL(IF(ISNUMBER(MATCH(orderHistory[customer],$D$9,0)),MATCH(ROW(orderHistory[customer]),ROW(orderHistory[customer])),""),ROWS($A$15:A35)+$B$3)),INDEX(orderHistory[status],SMALL(IF(ISNUMBER(MATCH(orderHistory[customer],$D$9,0)*MATCH(orderHistory[order_type],$D$13,0)),MATCH(ROW(orderHistory[customer]),ROW(orderHistory[customer])),""),ROWS($A$15:A35)+$B$3))),IF($D$13="",INDEX(orderHistory[status],SMALL(IF(ISNUMBER(MATCH(orderHistory[customer],$D$9,0)*MATCH(orderHistory[status],$D$11,0)),MATCH(ROW(orderHistory[customer]),ROW(orderHistory[customer])),""),ROWS($A$15:A35)+$B$3)),INDEX(orderHistory[status],SMALL(IF(ISNUMBER(MATCH(orderHistory[customer],$D$9,0)*MATCH(orderHistory[status],$D$11,0)*MATCH(orderHistory[order_type],$D$13,0)),MATCH(ROW(orderHistory[customer]),ROW(orderHistory[customer])),""),ROWS($A$15:A35)+$B$3))))),"")</f>
        <v>SHIPPED</v>
      </c>
      <c r="W30" s="111"/>
      <c r="AQ30" s="125" t="s">
        <v>730</v>
      </c>
      <c r="AR30" s="139">
        <f>SUMIF(salesHistory[order_no],$AR$10,salesHistory[net_weight])</f>
        <v>284.40000000000003</v>
      </c>
      <c r="AS30" s="264"/>
      <c r="AT30" s="189"/>
      <c r="AU30" s="121"/>
      <c r="AW30" s="131"/>
      <c r="AX30" s="120"/>
      <c r="AY30" s="120"/>
      <c r="AZ30" s="120"/>
      <c r="BA30" s="120"/>
      <c r="BB30" s="953"/>
      <c r="BC30" s="954"/>
      <c r="BD30" s="954"/>
      <c r="BE30" s="954"/>
      <c r="BF30" s="954"/>
      <c r="BG30" s="954"/>
      <c r="BH30" s="955"/>
      <c r="BI30" s="291"/>
      <c r="BJ30" s="121"/>
      <c r="BK30" s="146"/>
      <c r="BL30" s="147"/>
      <c r="BM30" s="148"/>
      <c r="BN30" s="147"/>
      <c r="BO30" s="148"/>
      <c r="BZ30" s="295"/>
      <c r="CA30" s="270" t="str">
        <f>IF(BZ30="","",VLOOKUP(BZ30,bhpc_data[],7,FALSE))</f>
        <v/>
      </c>
      <c r="CB30" s="296"/>
      <c r="CC30" s="642"/>
      <c r="CD30" s="297"/>
      <c r="CE30" s="645"/>
      <c r="CF30" s="298"/>
      <c r="CG30" s="301" t="str">
        <f>IFERROR(ROUNDUP(CB30/VLOOKUP(BZ30,bhpc_data[],9,FALSE),0)+ROUNDUP(CD30/VLOOKUP(BZ30,bhpc_data[],9,FALSE),0),"")</f>
        <v/>
      </c>
      <c r="CH30" s="302" t="str">
        <f>IFERROR(ROUNDUP(CD30/VLOOKUP(BZ30,bhpc_data[],9,FALSE),0),"")</f>
        <v/>
      </c>
      <c r="CI30" s="302" t="str">
        <f>IFERROR(ROUNDUP(CF30/VLOOKUP(BZ30,bhpc_data[],9,FALSE),0),"")</f>
        <v/>
      </c>
      <c r="CJ30" s="302" t="str">
        <f>IFERROR(((CB30+CD30+CF30)/VLOOKUP(BZ30,bhpc_data[],9,FALSE))*VLOOKUP(BZ30,bhpc_data[],17,FALSE),"")</f>
        <v/>
      </c>
      <c r="CK30" s="302" t="str">
        <f>IFERROR(((CB30+CD30+CF30)/VLOOKUP(BZ30,bhpc_data[],9,FALSE))*VLOOKUP(BZ30,bhpc_data[],18,FALSE),"")</f>
        <v/>
      </c>
      <c r="CL30" s="346" t="str">
        <f>IFERROR((CB30+CD30)/VLOOKUP(BZ30,bhpc_data[],9,FALSE)*VLOOKUP(BZ30,bhpc_data[],14,FALSE)*VLOOKUP(BZ30,bhpc_data[],15,FALSE)*VLOOKUP(BZ30,bhpc_data[],16,FALSE)/1000000000,"")</f>
        <v/>
      </c>
      <c r="CM30" s="409" t="str">
        <f>IFERROR(VLOOKUP(BZ30,bhpc_data[],2,FALSE),"")</f>
        <v/>
      </c>
      <c r="CN30" s="409" t="str">
        <f>IFERROR(VLOOKUP(BZ30,bhpc_data[],19,FALSE),"")</f>
        <v/>
      </c>
      <c r="CO30" s="653" t="str">
        <f>IFERROR(VLOOKUP(BZ30,bhpc_data[],6,FALSE),"")</f>
        <v/>
      </c>
      <c r="CP30" s="654" t="str">
        <f>IFERROR(VLOOKUP(BZ30,inventory[],4,FALSE),"")</f>
        <v/>
      </c>
      <c r="CQ30" s="651" t="str">
        <f>IFERROR(IF(BZ30="","",IF($BX$15="SALE",VLOOKUP(BZ30,inventory[],5,FALSE),IF($BX$15="SAMPLING",VLOOKUP(BZ30,inventory[],5,FALSE),""))),"")</f>
        <v/>
      </c>
      <c r="CR30" s="652" t="str">
        <f>IFERROR(IF(BZ30="","",(CB30+CD30+CF30)*CQ30),"")</f>
        <v/>
      </c>
      <c r="CS30" s="557" t="str">
        <f>IF(BZ30="","",CB30*CC30+CD30*CE30)</f>
        <v/>
      </c>
      <c r="CU30" s="125"/>
      <c r="CV30" s="365" t="s">
        <v>1006</v>
      </c>
      <c r="CW30" s="622">
        <v>33072000</v>
      </c>
      <c r="CX30" s="623">
        <f>SUM(bhpc_data[33072000])</f>
        <v>0</v>
      </c>
      <c r="CY30" s="553"/>
      <c r="CZ30" s="121"/>
      <c r="DA30" s="540" t="str">
        <f>IFERROR(VLOOKUP(BZ30,bhpc_data[],22,FALSE),"")</f>
        <v/>
      </c>
      <c r="DF30" s="169"/>
      <c r="DG30" s="118"/>
      <c r="DH30" s="161"/>
      <c r="DI30" s="118"/>
      <c r="DJ30" s="118"/>
      <c r="DK30" s="118"/>
      <c r="DL30" s="118"/>
      <c r="DM30" s="118"/>
      <c r="DN30" s="118"/>
      <c r="DO30" s="118"/>
      <c r="DP30" s="118"/>
      <c r="DQ30" s="118"/>
      <c r="DR30" s="118"/>
      <c r="DS30" s="118"/>
      <c r="DT30" s="118"/>
      <c r="DU30" s="118"/>
      <c r="DV30" s="119"/>
      <c r="EE30" s="453" t="s">
        <v>84</v>
      </c>
      <c r="EF30" s="447" t="str">
        <f>VLOOKUP(EE30,bhpc_data[],7,FALSE)</f>
        <v>BHPC WOMEN 1 EDP 50ML</v>
      </c>
      <c r="EG30" s="555">
        <f>IFERROR(VLOOKUP(EE30,inventory[],4,FALSE),0)</f>
        <v>0</v>
      </c>
      <c r="EH30" s="555">
        <f>IFERROR(VLOOKUP(warehouse[[#This Row],[SKU]],$EQ$10:$ES$38,3,FALSE),0)</f>
        <v>4992</v>
      </c>
      <c r="EI30" s="555">
        <f>IFERROR(VLOOKUP(warehouse[[#This Row],[SKU]],$EM$10:$EO$61,3,FALSE),0)</f>
        <v>0</v>
      </c>
      <c r="EJ30" s="555">
        <f>warehouse[[#This Row],[T-1]]+warehouse[[#This Row],[SUPPLY]]-warehouse[[#This Row],[SALE + SAMPLING]]</f>
        <v>4992</v>
      </c>
      <c r="EM30" s="74" t="s">
        <v>182</v>
      </c>
      <c r="EN30" s="74" t="s">
        <v>183</v>
      </c>
      <c r="EO30" s="431">
        <v>10368</v>
      </c>
      <c r="EQ30" s="74" t="s">
        <v>909</v>
      </c>
      <c r="ER30" s="74" t="s">
        <v>1130</v>
      </c>
      <c r="ES30" s="446">
        <v>5016</v>
      </c>
    </row>
    <row r="31" spans="1:149" ht="15" customHeight="1">
      <c r="F31" s="130"/>
      <c r="G31" s="161" t="s">
        <v>1181</v>
      </c>
      <c r="H31" s="118"/>
      <c r="I31" s="161" t="s">
        <v>1170</v>
      </c>
      <c r="J31" s="119"/>
      <c r="L31" s="274" t="str">
        <f t="array" ref="L31">IFERROR(IF($D$9="",IF($D$11="",IF($D$13="",INDEX(orderHistory[customer],SMALL(MATCH(ROW(orderHistory[customer]),ROW(orderHistory[customer])),ROWS($A$15:A36)+$B$3)),INDEX(orderHistory[customer],SMALL(IF(ISNUMBER(MATCH(orderHistory[order_type],$D$13,0)),MATCH(ROW(orderHistory[customer]),ROW(orderHistory[customer])),""),ROWS($A$15:A36)+$B$3))),IF($D$13="",INDEX(orderHistory[customer],SMALL(IF(ISNUMBER(MATCH(orderHistory[status],$D$11,0)),MATCH(ROW(orderHistory[customer]),ROW(orderHistory[customer])),""),ROWS($A$15:A36)+$B$3)),INDEX(orderHistory[customer],SMALL(IF(ISNUMBER(MATCH(orderHistory[status],$D$11,0)*MATCH(orderHistory[order_type],$D$13,0)),MATCH(ROW(orderHistory[customer]),ROW(orderHistory[customer])),""),ROWS($A$15:A36)+$B$3)))),IF($D$11="",IF($D$13="",INDEX(orderHistory[customer],SMALL(IF(ISNUMBER(MATCH(orderHistory[customer],$D$9,0)),MATCH(ROW(orderHistory[customer]),ROW(orderHistory[customer])),""),ROWS($A$15:A36)+$B$3)),INDEX(orderHistory[customer],SMALL(IF(ISNUMBER(MATCH(orderHistory[customer],$D$9,0)*MATCH(orderHistory[order_type],$D$13,0)),MATCH(ROW(orderHistory[customer]),ROW(orderHistory[customer])),""),ROWS($A$15:A36)+$B$3))),IF($D$13="",INDEX(orderHistory[customer],SMALL(IF(ISNUMBER(MATCH(orderHistory[customer],$D$9,0)*MATCH(orderHistory[status],$D$11,0)),MATCH(ROW(orderHistory[customer]),ROW(orderHistory[customer])),""),ROWS($A$15:A36)+$B$3)),INDEX(orderHistory[customer],SMALL(IF(ISNUMBER(MATCH(orderHistory[customer],$D$9,0)*MATCH(orderHistory[status],$D$11,0)*MATCH(orderHistory[order_type],$D$13,0)),MATCH(ROW(orderHistory[customer]),ROW(orderHistory[customer])),""),ROWS($A$15:A36)+$B$3))))),"")</f>
        <v/>
      </c>
      <c r="M31" s="391" t="str">
        <f t="array" ref="M31">IFERROR(IF($D$9="",IF($D$11="",IF($D$13="",INDEX(orderHistory[order_no],SMALL(MATCH(ROW(orderHistory[customer]),ROW(orderHistory[customer])),ROWS($A$15:A36)+$B$3)),INDEX(orderHistory[order_no],SMALL(IF(ISNUMBER(MATCH(orderHistory[order_type],$D$13,0)),MATCH(ROW(orderHistory[customer]),ROW(orderHistory[customer])),""),ROWS($A$15:A36)+$B$3))),IF($D$13="",INDEX(orderHistory[order_no],SMALL(IF(ISNUMBER(MATCH(orderHistory[status],$D$11,0)),MATCH(ROW(orderHistory[customer]),ROW(orderHistory[customer])),""),ROWS($A$15:A36)+$B$3)),INDEX(orderHistory[order_no],SMALL(IF(ISNUMBER(MATCH(orderHistory[status],$D$11,0)*MATCH(orderHistory[order_type],$D$13,0)),MATCH(ROW(orderHistory[customer]),ROW(orderHistory[customer])),""),ROWS($A$15:A36)+$B$3)))),IF($D$11="",IF($D$13="",INDEX(orderHistory[order_no],SMALL(IF(ISNUMBER(MATCH(orderHistory[customer],$D$9,0)),MATCH(ROW(orderHistory[customer]),ROW(orderHistory[customer])),""),ROWS($A$15:A36)+$B$3)),INDEX(orderHistory[order_no],SMALL(IF(ISNUMBER(MATCH(orderHistory[customer],$D$9,0)*MATCH(orderHistory[order_type],$D$13,0)),MATCH(ROW(orderHistory[customer]),ROW(orderHistory[customer])),""),ROWS($A$15:A36)+$B$3))),IF($D$13="",INDEX(orderHistory[order_no],SMALL(IF(ISNUMBER(MATCH(orderHistory[customer],$D$9,0)*MATCH(orderHistory[status],$D$11,0)),MATCH(ROW(orderHistory[customer]),ROW(orderHistory[customer])),""),ROWS($A$15:A36)+$B$3)),INDEX(orderHistory[order_no],SMALL(IF(ISNUMBER(MATCH(orderHistory[customer],$D$9,0)*MATCH(orderHistory[status],$D$11,0)*MATCH(orderHistory[order_type],$D$13,0)),MATCH(ROW(orderHistory[customer]),ROW(orderHistory[customer])),""),ROWS($A$15:A36)+$B$3))))),"")</f>
        <v/>
      </c>
      <c r="N31" s="386" t="str">
        <f t="array" ref="N31">IFERROR(IF($D$9="",IF($D$11="",IF($D$13="",INDEX(orderHistory[order_type],SMALL(MATCH(ROW(orderHistory[customer]),ROW(orderHistory[customer])),ROWS($A$15:A36)+$B$3)),INDEX(orderHistory[order_type],SMALL(IF(ISNUMBER(MATCH(orderHistory[order_type],$D$13,0)),MATCH(ROW(orderHistory[customer]),ROW(orderHistory[customer])),""),ROWS($A$15:A36)+$B$3))),IF($D$13="",INDEX(orderHistory[order_type],SMALL(IF(ISNUMBER(MATCH(orderHistory[status],$D$11,0)),MATCH(ROW(orderHistory[customer]),ROW(orderHistory[customer])),""),ROWS($A$15:A36)+$B$3)),INDEX(orderHistory[order_type],SMALL(IF(ISNUMBER(MATCH(orderHistory[status],$D$11,0)*MATCH(orderHistory[order_type],$D$13,0)),MATCH(ROW(orderHistory[customer]),ROW(orderHistory[customer])),""),ROWS($A$15:A36)+$B$3)))),IF($D$11="",IF($D$13="",INDEX(orderHistory[order_type],SMALL(IF(ISNUMBER(MATCH(orderHistory[customer],$D$9,0)),MATCH(ROW(orderHistory[customer]),ROW(orderHistory[customer])),""),ROWS($A$15:A36)+$B$3)),INDEX(orderHistory[order_type],SMALL(IF(ISNUMBER(MATCH(orderHistory[customer],$D$9,0)*MATCH(orderHistory[order_type],$D$13,0)),MATCH(ROW(orderHistory[customer]),ROW(orderHistory[customer])),""),ROWS($A$15:A36)+$B$3))),IF($D$13="",INDEX(orderHistory[order_type],SMALL(IF(ISNUMBER(MATCH(orderHistory[customer],$D$9,0)*MATCH(orderHistory[status],$D$11,0)),MATCH(ROW(orderHistory[customer]),ROW(orderHistory[customer])),""),ROWS($A$15:A36)+$B$3)),INDEX(orderHistory[order_type],SMALL(IF(ISNUMBER(MATCH(orderHistory[customer],$D$9,0)*MATCH(orderHistory[status],$D$11,0)*MATCH(orderHistory[order_type],$D$13,0)),MATCH(ROW(orderHistory[customer]),ROW(orderHistory[customer])),""),ROWS($A$15:A36)+$B$3))))),"")</f>
        <v/>
      </c>
      <c r="O31" s="275" t="str">
        <f t="array" ref="O31">IFERROR(IF($D$9="",IF($D$11="",IF($D$13="",INDEX(orderHistory[order_date],SMALL(MATCH(ROW(orderHistory[customer]),ROW(orderHistory[customer])),ROWS($A$15:A36)+$B$3)),INDEX(orderHistory[order_date],SMALL(IF(ISNUMBER(MATCH(orderHistory[order_type],$D$13,0)),MATCH(ROW(orderHistory[customer]),ROW(orderHistory[customer])),""),ROWS($A$15:A36)+$B$3))),IF($D$13="",INDEX(orderHistory[order_date],SMALL(IF(ISNUMBER(MATCH(orderHistory[status],$D$11,0)),MATCH(ROW(orderHistory[customer]),ROW(orderHistory[customer])),""),ROWS($A$15:A36)+$B$3)),INDEX(orderHistory[order_date],SMALL(IF(ISNUMBER(MATCH(orderHistory[status],$D$11,0)*MATCH(orderHistory[order_type],$D$13,0)),MATCH(ROW(orderHistory[customer]),ROW(orderHistory[customer])),""),ROWS($A$15:A36)+$B$3)))),IF($D$11="",IF($D$13="",INDEX(orderHistory[order_date],SMALL(IF(ISNUMBER(MATCH(orderHistory[customer],$D$9,0)),MATCH(ROW(orderHistory[customer]),ROW(orderHistory[customer])),""),ROWS($A$15:A36)+$B$3)),INDEX(orderHistory[order_date],SMALL(IF(ISNUMBER(MATCH(orderHistory[customer],$D$9,0)*MATCH(orderHistory[order_type],$D$13,0)),MATCH(ROW(orderHistory[customer]),ROW(orderHistory[customer])),""),ROWS($A$15:A36)+$B$3))),IF($D$13="",INDEX(orderHistory[order_date],SMALL(IF(ISNUMBER(MATCH(orderHistory[customer],$D$9,0)*MATCH(orderHistory[status],$D$11,0)),MATCH(ROW(orderHistory[customer]),ROW(orderHistory[customer])),""),ROWS($A$15:A36)+$B$3)),INDEX(orderHistory[order_date],SMALL(IF(ISNUMBER(MATCH(orderHistory[customer],$D$9,0)*MATCH(orderHistory[status],$D$11,0)*MATCH(orderHistory[order_type],$D$13,0)),MATCH(ROW(orderHistory[customer]),ROW(orderHistory[customer])),""),ROWS($A$15:A36)+$B$3))))),"")</f>
        <v/>
      </c>
      <c r="P31" s="379" t="str">
        <f t="array" ref="P31">IF(IFERROR(IF($D$9="",IF($D$11="",IF($D$13="",INDEX(orderHistory[invoice_no],SMALL(MATCH(ROW(orderHistory[customer]),ROW(orderHistory[customer])),ROWS($A$15:A36)+$B$3)),INDEX(orderHistory[invoice_no],SMALL(IF(ISNUMBER(MATCH(orderHistory[order_type],$D$13,0)),MATCH(ROW(orderHistory[customer]),ROW(orderHistory[customer])),""),ROWS($A$15:A36)+$B$3))),IF($D$13="",INDEX(orderHistory[invoice_no],SMALL(IF(ISNUMBER(MATCH(orderHistory[status],$D$11,0)),MATCH(ROW(orderHistory[customer]),ROW(orderHistory[customer])),""),ROWS($A$15:A36)+$B$3)),INDEX(orderHistory[invoice_no],SMALL(IF(ISNUMBER(MATCH(orderHistory[status],$D$11,0)*MATCH(orderHistory[order_type],$D$13,0)),MATCH(ROW(orderHistory[customer]),ROW(orderHistory[customer])),""),ROWS($A$15:A36)+$B$3)))),IF($D$11="",IF($D$13="",INDEX(orderHistory[invoice_no],SMALL(IF(ISNUMBER(MATCH(orderHistory[customer],$D$9,0)),MATCH(ROW(orderHistory[customer]),ROW(orderHistory[customer])),""),ROWS($A$15:A36)+$B$3)),INDEX(orderHistory[invoice_no],SMALL(IF(ISNUMBER(MATCH(orderHistory[customer],$D$9,0)*MATCH(orderHistory[order_type],$D$13,0)),MATCH(ROW(orderHistory[customer]),ROW(orderHistory[customer])),""),ROWS($A$15:A36)+$B$3))),IF($D$13="",INDEX(orderHistory[invoice_no],SMALL(IF(ISNUMBER(MATCH(orderHistory[customer],$D$9,0)*MATCH(orderHistory[status],$D$11,0)),MATCH(ROW(orderHistory[customer]),ROW(orderHistory[customer])),""),ROWS($A$15:A36)+$B$3)),INDEX(orderHistory[invoice_no],SMALL(IF(ISNUMBER(MATCH(orderHistory[customer],$D$9,0)*MATCH(orderHistory[status],$D$11,0)*MATCH(orderHistory[order_type],$D$13,0)),MATCH(ROW(orderHistory[customer]),ROW(orderHistory[customer])),""),ROWS($A$15:A36)+$B$3))))),"")=0,"",IFERROR(IF($D$9="",IF($D$11="",IF($D$13="",INDEX(orderHistory[invoice_no],SMALL(MATCH(ROW(orderHistory[customer]),ROW(orderHistory[customer])),ROWS($A$15:A36)+$B$3)),INDEX(orderHistory[invoice_no],SMALL(IF(ISNUMBER(MATCH(orderHistory[order_type],$D$13,0)),MATCH(ROW(orderHistory[customer]),ROW(orderHistory[customer])),""),ROWS($A$15:A36)+$B$3))),IF($D$13="",INDEX(orderHistory[invoice_no],SMALL(IF(ISNUMBER(MATCH(orderHistory[status],$D$11,0)),MATCH(ROW(orderHistory[customer]),ROW(orderHistory[customer])),""),ROWS($A$15:A36)+$B$3)),INDEX(orderHistory[invoice_no],SMALL(IF(ISNUMBER(MATCH(orderHistory[status],$D$11,0)*MATCH(orderHistory[order_type],$D$13,0)),MATCH(ROW(orderHistory[customer]),ROW(orderHistory[customer])),""),ROWS($A$15:A36)+$B$3)))),IF($D$11="",IF($D$13="",INDEX(orderHistory[invoice_no],SMALL(IF(ISNUMBER(MATCH(orderHistory[customer],$D$9,0)),MATCH(ROW(orderHistory[customer]),ROW(orderHistory[customer])),""),ROWS($A$15:A36)+$B$3)),INDEX(orderHistory[invoice_no],SMALL(IF(ISNUMBER(MATCH(orderHistory[customer],$D$9,0)*MATCH(orderHistory[order_type],$D$13,0)),MATCH(ROW(orderHistory[customer]),ROW(orderHistory[customer])),""),ROWS($A$15:A36)+$B$3))),IF($D$13="",INDEX(orderHistory[invoice_no],SMALL(IF(ISNUMBER(MATCH(orderHistory[customer],$D$9,0)*MATCH(orderHistory[status],$D$11,0)),MATCH(ROW(orderHistory[customer]),ROW(orderHistory[customer])),""),ROWS($A$15:A36)+$B$3)),INDEX(orderHistory[invoice_no],SMALL(IF(ISNUMBER(MATCH(orderHistory[customer],$D$9,0)*MATCH(orderHistory[status],$D$11,0)*MATCH(orderHistory[order_type],$D$13,0)),MATCH(ROW(orderHistory[customer]),ROW(orderHistory[customer])),""),ROWS($A$15:A36)+$B$3))))),""))</f>
        <v/>
      </c>
      <c r="Q31" s="381" t="str">
        <f t="array" ref="Q31">IF(IFERROR(IF($D$9="",IF($D$11="",IF($D$13="",INDEX(orderHistory[invoice_date],SMALL(MATCH(ROW(orderHistory[customer]),ROW(orderHistory[customer])),ROWS($A$15:A36)+$B$3)),INDEX(orderHistory[invoice_date],SMALL(IF(ISNUMBER(MATCH(orderHistory[order_type],$D$13,0)),MATCH(ROW(orderHistory[customer]),ROW(orderHistory[customer])),""),ROWS($A$15:A36)+$B$3))),IF($D$13="",INDEX(orderHistory[invoice_date],SMALL(IF(ISNUMBER(MATCH(orderHistory[status],$D$11,0)),MATCH(ROW(orderHistory[customer]),ROW(orderHistory[customer])),""),ROWS($A$15:A36)+$B$3)),INDEX(orderHistory[invoice_date],SMALL(IF(ISNUMBER(MATCH(orderHistory[status],$D$11,0)*MATCH(orderHistory[order_type],$D$13,0)),MATCH(ROW(orderHistory[customer]),ROW(orderHistory[customer])),""),ROWS($A$15:A36)+$B$3)))),IF($D$11="",IF($D$13="",INDEX(orderHistory[invoice_date],SMALL(IF(ISNUMBER(MATCH(orderHistory[customer],$D$9,0)),MATCH(ROW(orderHistory[customer]),ROW(orderHistory[customer])),""),ROWS($A$15:A36)+$B$3)),INDEX(orderHistory[invoice_date],SMALL(IF(ISNUMBER(MATCH(orderHistory[customer],$D$9,0)*MATCH(orderHistory[order_type],$D$13,0)),MATCH(ROW(orderHistory[customer]),ROW(orderHistory[customer])),""),ROWS($A$15:A36)+$B$3))),IF($D$13="",INDEX(orderHistory[invoice_date],SMALL(IF(ISNUMBER(MATCH(orderHistory[customer],$D$9,0)*MATCH(orderHistory[status],$D$11,0)),MATCH(ROW(orderHistory[customer]),ROW(orderHistory[customer])),""),ROWS($A$15:A36)+$B$3)),INDEX(orderHistory[invoice_date],SMALL(IF(ISNUMBER(MATCH(orderHistory[customer],$D$9,0)*MATCH(orderHistory[status],$D$11,0)*MATCH(orderHistory[order_type],$D$13,0)),MATCH(ROW(orderHistory[customer]),ROW(orderHistory[customer])),""),ROWS($A$15:A36)+$B$3))))),"")=0,"",IFERROR(IF($D$9="",IF($D$11="",IF($D$13="",INDEX(orderHistory[invoice_date],SMALL(MATCH(ROW(orderHistory[customer]),ROW(orderHistory[customer])),ROWS($A$15:A36)+$B$3)),INDEX(orderHistory[invoice_date],SMALL(IF(ISNUMBER(MATCH(orderHistory[order_type],$D$13,0)),MATCH(ROW(orderHistory[customer]),ROW(orderHistory[customer])),""),ROWS($A$15:A36)+$B$3))),IF($D$13="",INDEX(orderHistory[invoice_date],SMALL(IF(ISNUMBER(MATCH(orderHistory[status],$D$11,0)),MATCH(ROW(orderHistory[customer]),ROW(orderHistory[customer])),""),ROWS($A$15:A36)+$B$3)),INDEX(orderHistory[invoice_date],SMALL(IF(ISNUMBER(MATCH(orderHistory[status],$D$11,0)*MATCH(orderHistory[order_type],$D$13,0)),MATCH(ROW(orderHistory[customer]),ROW(orderHistory[customer])),""),ROWS($A$15:A36)+$B$3)))),IF($D$11="",IF($D$13="",INDEX(orderHistory[invoice_date],SMALL(IF(ISNUMBER(MATCH(orderHistory[customer],$D$9,0)),MATCH(ROW(orderHistory[customer]),ROW(orderHistory[customer])),""),ROWS($A$15:A36)+$B$3)),INDEX(orderHistory[invoice_date],SMALL(IF(ISNUMBER(MATCH(orderHistory[customer],$D$9,0)*MATCH(orderHistory[order_type],$D$13,0)),MATCH(ROW(orderHistory[customer]),ROW(orderHistory[customer])),""),ROWS($A$15:A36)+$B$3))),IF($D$13="",INDEX(orderHistory[invoice_date],SMALL(IF(ISNUMBER(MATCH(orderHistory[customer],$D$9,0)*MATCH(orderHistory[status],$D$11,0)),MATCH(ROW(orderHistory[customer]),ROW(orderHistory[customer])),""),ROWS($A$15:A36)+$B$3)),INDEX(orderHistory[invoice_date],SMALL(IF(ISNUMBER(MATCH(orderHistory[customer],$D$9,0)*MATCH(orderHistory[status],$D$11,0)*MATCH(orderHistory[order_type],$D$13,0)),MATCH(ROW(orderHistory[customer]),ROW(orderHistory[customer])),""),ROWS($A$15:A36)+$B$3))))),""))</f>
        <v/>
      </c>
      <c r="R31" s="377" t="str">
        <f t="array" ref="R31">IFERROR(IF($D$9="",IF($D$11="",IF($D$13="",INDEX(orderHistory[inv_amount],SMALL(MATCH(ROW(orderHistory[customer]),ROW(orderHistory[customer])),ROWS($A$15:A36)+$B$3)),INDEX(orderHistory[inv_amount],SMALL(IF(ISNUMBER(MATCH(orderHistory[order_type],$D$13,0)),MATCH(ROW(orderHistory[customer]),ROW(orderHistory[customer])),""),ROWS($A$15:A36)+$B$3))),IF($D$13="",INDEX(orderHistory[inv_amount],SMALL(IF(ISNUMBER(MATCH(orderHistory[status],$D$11,0)),MATCH(ROW(orderHistory[customer]),ROW(orderHistory[customer])),""),ROWS($A$15:A36)+$B$3)),INDEX(orderHistory[inv_amount],SMALL(IF(ISNUMBER(MATCH(orderHistory[status],$D$11,0)*MATCH(orderHistory[order_type],$D$13,0)),MATCH(ROW(orderHistory[customer]),ROW(orderHistory[customer])),""),ROWS($A$15:A36)+$B$3)))),IF($D$11="",IF($D$13="",INDEX(orderHistory[inv_amount],SMALL(IF(ISNUMBER(MATCH(orderHistory[customer],$D$9,0)),MATCH(ROW(orderHistory[customer]),ROW(orderHistory[customer])),""),ROWS($A$15:A36)+$B$3)),INDEX(orderHistory[inv_amount],SMALL(IF(ISNUMBER(MATCH(orderHistory[customer],$D$9,0)*MATCH(orderHistory[order_type],$D$13,0)),MATCH(ROW(orderHistory[customer]),ROW(orderHistory[customer])),""),ROWS($A$15:A36)+$B$3))),IF($D$13="",INDEX(orderHistory[inv_amount],SMALL(IF(ISNUMBER(MATCH(orderHistory[customer],$D$9,0)*MATCH(orderHistory[status],$D$11,0)),MATCH(ROW(orderHistory[customer]),ROW(orderHistory[customer])),""),ROWS($A$15:A36)+$B$3)),INDEX(orderHistory[inv_amount],SMALL(IF(ISNUMBER(MATCH(orderHistory[customer],$D$9,0)*MATCH(orderHistory[status],$D$11,0)*MATCH(orderHistory[order_type],$D$13,0)),MATCH(ROW(orderHistory[customer]),ROW(orderHistory[customer])),""),ROWS($A$15:A36)+$B$3))))),"")</f>
        <v/>
      </c>
      <c r="S31" s="383" t="str">
        <f t="shared" si="0"/>
        <v/>
      </c>
      <c r="T31" s="385" t="str">
        <f t="array" ref="T31">IFERROR(IF($D$9="",IF($D$11="",IF($D$13="",INDEX(orderHistory[payed],SMALL(MATCH(ROW(orderHistory[customer]),ROW(orderHistory[customer])),ROWS($A$15:A36)+$B$3)),INDEX(orderHistory[payed],SMALL(IF(ISNUMBER(MATCH(orderHistory[order_type],$D$13,0)),MATCH(ROW(orderHistory[customer]),ROW(orderHistory[customer])),""),ROWS($A$15:A36)+$B$3))),IF($D$13="",INDEX(orderHistory[payed],SMALL(IF(ISNUMBER(MATCH(orderHistory[status],$D$11,0)),MATCH(ROW(orderHistory[customer]),ROW(orderHistory[customer])),""),ROWS($A$15:A36)+$B$3)),INDEX(orderHistory[payed],SMALL(IF(ISNUMBER(MATCH(orderHistory[status],$D$11,0)*MATCH(orderHistory[order_type],$D$13,0)),MATCH(ROW(orderHistory[customer]),ROW(orderHistory[customer])),""),ROWS($A$15:A36)+$B$3)))),IF($D$11="",IF($D$13="",INDEX(orderHistory[payed],SMALL(IF(ISNUMBER(MATCH(orderHistory[customer],$D$9,0)),MATCH(ROW(orderHistory[customer]),ROW(orderHistory[customer])),""),ROWS($A$15:A36)+$B$3)),INDEX(orderHistory[payed],SMALL(IF(ISNUMBER(MATCH(orderHistory[customer],$D$9,0)*MATCH(orderHistory[order_type],$D$13,0)),MATCH(ROW(orderHistory[customer]),ROW(orderHistory[customer])),""),ROWS($A$15:A36)+$B$3))),IF($D$13="",INDEX(orderHistory[payed],SMALL(IF(ISNUMBER(MATCH(orderHistory[customer],$D$9,0)*MATCH(orderHistory[status],$D$11,0)),MATCH(ROW(orderHistory[customer]),ROW(orderHistory[customer])),""),ROWS($A$15:A36)+$B$3)),INDEX(orderHistory[payed],SMALL(IF(ISNUMBER(MATCH(orderHistory[customer],$D$9,0)*MATCH(orderHistory[status],$D$11,0)*MATCH(orderHistory[order_type],$D$13,0)),MATCH(ROW(orderHistory[customer]),ROW(orderHistory[customer])),""),ROWS($A$15:A36)+$B$3))))),"")</f>
        <v/>
      </c>
      <c r="U31" s="386" t="str">
        <f t="array" ref="U31">IFERROR(IF($D$9="",IF($D$11="",IF($D$13="",INDEX(orderHistory[shipping_method],SMALL(MATCH(ROW(orderHistory[customer]),ROW(orderHistory[customer])),ROWS($A$15:A36)+$B$3)),INDEX(orderHistory[shipping_method],SMALL(IF(ISNUMBER(MATCH(orderHistory[order_type],$D$13,0)),MATCH(ROW(orderHistory[customer]),ROW(orderHistory[customer])),""),ROWS($A$15:A36)+$B$3))),IF($D$13="",INDEX(orderHistory[shipping_method],SMALL(IF(ISNUMBER(MATCH(orderHistory[status],$D$11,0)),MATCH(ROW(orderHistory[customer]),ROW(orderHistory[customer])),""),ROWS($A$15:A36)+$B$3)),INDEX(orderHistory[shipping_method],SMALL(IF(ISNUMBER(MATCH(orderHistory[status],$D$11,0)*MATCH(orderHistory[order_type],$D$13,0)),MATCH(ROW(orderHistory[customer]),ROW(orderHistory[customer])),""),ROWS($A$15:A36)+$B$3)))),IF($D$11="",IF($D$13="",INDEX(orderHistory[shipping_method],SMALL(IF(ISNUMBER(MATCH(orderHistory[customer],$D$9,0)),MATCH(ROW(orderHistory[customer]),ROW(orderHistory[customer])),""),ROWS($A$15:A36)+$B$3)),INDEX(orderHistory[shipping_method],SMALL(IF(ISNUMBER(MATCH(orderHistory[customer],$D$9,0)*MATCH(orderHistory[order_type],$D$13,0)),MATCH(ROW(orderHistory[customer]),ROW(orderHistory[customer])),""),ROWS($A$15:A36)+$B$3))),IF($D$13="",INDEX(orderHistory[shipping_method],SMALL(IF(ISNUMBER(MATCH(orderHistory[customer],$D$9,0)*MATCH(orderHistory[status],$D$11,0)),MATCH(ROW(orderHistory[customer]),ROW(orderHistory[customer])),""),ROWS($A$15:A36)+$B$3)),INDEX(orderHistory[shipping_method],SMALL(IF(ISNUMBER(MATCH(orderHistory[customer],$D$9,0)*MATCH(orderHistory[status],$D$11,0)*MATCH(orderHistory[order_type],$D$13,0)),MATCH(ROW(orderHistory[customer]),ROW(orderHistory[customer])),""),ROWS($A$15:A36)+$B$3))))),"")</f>
        <v/>
      </c>
      <c r="V31" s="387" t="str">
        <f t="array" ref="V31">IFERROR(IF($D$9="",IF($D$11="",IF($D$13="",INDEX(orderHistory[status],SMALL(MATCH(ROW(orderHistory[customer]),ROW(orderHistory[customer])),ROWS($A$15:A36)+$B$3)),INDEX(orderHistory[status],SMALL(IF(ISNUMBER(MATCH(orderHistory[order_type],$D$13,0)),MATCH(ROW(orderHistory[customer]),ROW(orderHistory[customer])),""),ROWS($A$15:A36)+$B$3))),IF($D$13="",INDEX(orderHistory[status],SMALL(IF(ISNUMBER(MATCH(orderHistory[status],$D$11,0)),MATCH(ROW(orderHistory[customer]),ROW(orderHistory[customer])),""),ROWS($A$15:A36)+$B$3)),INDEX(orderHistory[status],SMALL(IF(ISNUMBER(MATCH(orderHistory[status],$D$11,0)*MATCH(orderHistory[order_type],$D$13,0)),MATCH(ROW(orderHistory[customer]),ROW(orderHistory[customer])),""),ROWS($A$15:A36)+$B$3)))),IF($D$11="",IF($D$13="",INDEX(orderHistory[status],SMALL(IF(ISNUMBER(MATCH(orderHistory[customer],$D$9,0)),MATCH(ROW(orderHistory[customer]),ROW(orderHistory[customer])),""),ROWS($A$15:A36)+$B$3)),INDEX(orderHistory[status],SMALL(IF(ISNUMBER(MATCH(orderHistory[customer],$D$9,0)*MATCH(orderHistory[order_type],$D$13,0)),MATCH(ROW(orderHistory[customer]),ROW(orderHistory[customer])),""),ROWS($A$15:A36)+$B$3))),IF($D$13="",INDEX(orderHistory[status],SMALL(IF(ISNUMBER(MATCH(orderHistory[customer],$D$9,0)*MATCH(orderHistory[status],$D$11,0)),MATCH(ROW(orderHistory[customer]),ROW(orderHistory[customer])),""),ROWS($A$15:A36)+$B$3)),INDEX(orderHistory[status],SMALL(IF(ISNUMBER(MATCH(orderHistory[customer],$D$9,0)*MATCH(orderHistory[status],$D$11,0)*MATCH(orderHistory[order_type],$D$13,0)),MATCH(ROW(orderHistory[customer]),ROW(orderHistory[customer])),""),ROWS($A$15:A36)+$B$3))))),"")</f>
        <v/>
      </c>
      <c r="W31" s="111"/>
      <c r="AQ31" s="125" t="s">
        <v>731</v>
      </c>
      <c r="AR31" s="139">
        <f>SUMIF(salesHistory[order_no],$AR$10,salesHistory[gross_weight])</f>
        <v>297</v>
      </c>
      <c r="AS31" s="365" t="s">
        <v>866</v>
      </c>
      <c r="AT31" s="396">
        <f>SUMIF(salesHistory[order_no],$AR$10,salesHistory[cbm])</f>
        <v>0.51892499999999997</v>
      </c>
      <c r="AU31" s="121"/>
      <c r="AW31" s="131"/>
      <c r="AX31" s="120" t="s">
        <v>732</v>
      </c>
      <c r="AY31" s="120"/>
      <c r="AZ31" s="120"/>
      <c r="BA31" s="134"/>
      <c r="BB31" s="980" t="s">
        <v>1264</v>
      </c>
      <c r="BC31" s="980"/>
      <c r="BD31" s="980"/>
      <c r="BE31" s="120"/>
      <c r="BF31" s="177" t="s">
        <v>1265</v>
      </c>
      <c r="BG31" s="175"/>
      <c r="BH31" s="120"/>
      <c r="BI31" s="291"/>
      <c r="BJ31" s="121"/>
      <c r="BK31" s="146"/>
      <c r="BL31" s="147"/>
      <c r="BM31" s="148"/>
      <c r="BN31" s="147"/>
      <c r="BO31" s="148"/>
      <c r="BZ31" s="304"/>
      <c r="CA31" s="270" t="str">
        <f>IF(BZ31="","",VLOOKUP(BZ31,bhpc_data[],7,FALSE))</f>
        <v/>
      </c>
      <c r="CB31" s="303"/>
      <c r="CC31" s="643"/>
      <c r="CD31" s="297"/>
      <c r="CE31" s="645"/>
      <c r="CF31" s="298"/>
      <c r="CG31" s="301" t="str">
        <f>IFERROR(ROUNDUP(CB31/VLOOKUP(BZ31,bhpc_data[],9,FALSE),0)+ROUNDUP(CD31/VLOOKUP(BZ31,bhpc_data[],9,FALSE),0),"")</f>
        <v/>
      </c>
      <c r="CH31" s="302" t="str">
        <f>IFERROR(ROUNDUP(CD31/VLOOKUP(BZ31,bhpc_data[],9,FALSE),0),"")</f>
        <v/>
      </c>
      <c r="CI31" s="302" t="str">
        <f>IFERROR(ROUNDUP(CF31/VLOOKUP(BZ31,bhpc_data[],9,FALSE),0),"")</f>
        <v/>
      </c>
      <c r="CJ31" s="302" t="str">
        <f>IFERROR(((CB31+CD31+CF31)/VLOOKUP(BZ31,bhpc_data[],9,FALSE))*VLOOKUP(BZ31,bhpc_data[],17,FALSE),"")</f>
        <v/>
      </c>
      <c r="CK31" s="302" t="str">
        <f>IFERROR(((CB31+CD31+CF31)/VLOOKUP(BZ31,bhpc_data[],9,FALSE))*VLOOKUP(BZ31,bhpc_data[],18,FALSE),"")</f>
        <v/>
      </c>
      <c r="CL31" s="346" t="str">
        <f>IFERROR((CB31+CD31)/VLOOKUP(BZ31,bhpc_data[],9,FALSE)*VLOOKUP(BZ31,bhpc_data[],14,FALSE)*VLOOKUP(BZ31,bhpc_data[],15,FALSE)*VLOOKUP(BZ31,bhpc_data[],16,FALSE)/1000000000,"")</f>
        <v/>
      </c>
      <c r="CM31" s="409" t="str">
        <f>IFERROR(VLOOKUP(BZ31,bhpc_data[],2,FALSE),"")</f>
        <v/>
      </c>
      <c r="CN31" s="409" t="str">
        <f>IFERROR(VLOOKUP(BZ31,bhpc_data[],19,FALSE),"")</f>
        <v/>
      </c>
      <c r="CO31" s="653" t="str">
        <f>IFERROR(VLOOKUP(BZ31,bhpc_data[],6,FALSE),"")</f>
        <v/>
      </c>
      <c r="CP31" s="654" t="str">
        <f>IFERROR(VLOOKUP(BZ31,inventory[],4,FALSE),"")</f>
        <v/>
      </c>
      <c r="CQ31" s="655" t="str">
        <f>IFERROR(IF(BZ31="","",IF($BX$15="SALE",VLOOKUP(BZ31,inventory[],5,FALSE),IF($BX$15="SAMPLING",VLOOKUP(BZ31,inventory[],5,FALSE),""))),"")</f>
        <v/>
      </c>
      <c r="CR31" s="656" t="str">
        <f>IFERROR(IF(BZ31="","",(CB31+CD31+CF31)*CQ31),"")</f>
        <v/>
      </c>
      <c r="CS31" s="557" t="str">
        <f>IF(BZ31="","",CB31*CC31+CD31*CE31)</f>
        <v/>
      </c>
      <c r="CU31" s="125"/>
      <c r="CV31" s="365" t="s">
        <v>1004</v>
      </c>
      <c r="CW31" s="622" t="s">
        <v>190</v>
      </c>
      <c r="CX31" s="623">
        <f>SUM(bhpc_data[33030090])</f>
        <v>0</v>
      </c>
      <c r="CY31" s="553"/>
      <c r="CZ31" s="121"/>
      <c r="DA31" s="540" t="str">
        <f>IFERROR(VLOOKUP(BZ31,bhpc_data[],22,FALSE),"")</f>
        <v/>
      </c>
      <c r="DF31" s="131"/>
      <c r="DG31" s="120"/>
      <c r="DH31" s="162"/>
      <c r="DI31" s="120"/>
      <c r="DJ31" s="120"/>
      <c r="DK31" s="120"/>
      <c r="DL31" s="120"/>
      <c r="DM31" s="120"/>
      <c r="DN31" s="120"/>
      <c r="DO31" s="120"/>
      <c r="DP31" s="120"/>
      <c r="DQ31" s="120"/>
      <c r="DR31" s="120"/>
      <c r="DS31" s="120"/>
      <c r="DT31" s="120"/>
      <c r="DU31" s="120"/>
      <c r="DV31" s="121"/>
      <c r="EE31" s="453" t="s">
        <v>86</v>
      </c>
      <c r="EF31" s="447" t="str">
        <f>VLOOKUP(EE31,bhpc_data[],7,FALSE)</f>
        <v>BHPC WOMEN 9 EDP 50ML</v>
      </c>
      <c r="EG31" s="555">
        <f>IFERROR(VLOOKUP(EE31,inventory[],4,FALSE),0)</f>
        <v>49</v>
      </c>
      <c r="EH31" s="555">
        <f>IFERROR(VLOOKUP(warehouse[[#This Row],[SKU]],$EQ$10:$ES$38,3,FALSE),0)</f>
        <v>4608</v>
      </c>
      <c r="EI31" s="555">
        <f>IFERROR(VLOOKUP(warehouse[[#This Row],[SKU]],$EM$10:$EO$61,3,FALSE),0)</f>
        <v>0</v>
      </c>
      <c r="EJ31" s="555">
        <f>warehouse[[#This Row],[T-1]]+warehouse[[#This Row],[SUPPLY]]-warehouse[[#This Row],[SALE + SAMPLING]]</f>
        <v>4657</v>
      </c>
      <c r="EM31" s="74" t="s">
        <v>184</v>
      </c>
      <c r="EN31" s="74" t="s">
        <v>185</v>
      </c>
      <c r="EO31" s="431">
        <v>10368</v>
      </c>
      <c r="EQ31" s="74" t="s">
        <v>161</v>
      </c>
      <c r="ER31" s="74" t="s">
        <v>162</v>
      </c>
      <c r="ES31" s="446">
        <v>6553</v>
      </c>
    </row>
    <row r="32" spans="1:149" ht="15" customHeight="1" thickBot="1">
      <c r="F32" s="124"/>
      <c r="G32" s="667">
        <f>VLOOKUP($B$4,orderHistory[],9,FALSE)</f>
        <v>7</v>
      </c>
      <c r="H32" s="120"/>
      <c r="I32" s="668" t="str">
        <f>VLOOKUP($B$4,orderHistory[],8,FALSE)</f>
        <v>80x120</v>
      </c>
      <c r="J32" s="121"/>
      <c r="L32" s="274" t="str">
        <f t="array" ref="L32">IFERROR(IF($D$9="",IF($D$11="",IF($D$13="",INDEX(orderHistory[customer],SMALL(MATCH(ROW(orderHistory[customer]),ROW(orderHistory[customer])),ROWS($A$15:A37)+$B$3)),INDEX(orderHistory[customer],SMALL(IF(ISNUMBER(MATCH(orderHistory[order_type],$D$13,0)),MATCH(ROW(orderHistory[customer]),ROW(orderHistory[customer])),""),ROWS($A$15:A37)+$B$3))),IF($D$13="",INDEX(orderHistory[customer],SMALL(IF(ISNUMBER(MATCH(orderHistory[status],$D$11,0)),MATCH(ROW(orderHistory[customer]),ROW(orderHistory[customer])),""),ROWS($A$15:A37)+$B$3)),INDEX(orderHistory[customer],SMALL(IF(ISNUMBER(MATCH(orderHistory[status],$D$11,0)*MATCH(orderHistory[order_type],$D$13,0)),MATCH(ROW(orderHistory[customer]),ROW(orderHistory[customer])),""),ROWS($A$15:A37)+$B$3)))),IF($D$11="",IF($D$13="",INDEX(orderHistory[customer],SMALL(IF(ISNUMBER(MATCH(orderHistory[customer],$D$9,0)),MATCH(ROW(orderHistory[customer]),ROW(orderHistory[customer])),""),ROWS($A$15:A37)+$B$3)),INDEX(orderHistory[customer],SMALL(IF(ISNUMBER(MATCH(orderHistory[customer],$D$9,0)*MATCH(orderHistory[order_type],$D$13,0)),MATCH(ROW(orderHistory[customer]),ROW(orderHistory[customer])),""),ROWS($A$15:A37)+$B$3))),IF($D$13="",INDEX(orderHistory[customer],SMALL(IF(ISNUMBER(MATCH(orderHistory[customer],$D$9,0)*MATCH(orderHistory[status],$D$11,0)),MATCH(ROW(orderHistory[customer]),ROW(orderHistory[customer])),""),ROWS($A$15:A37)+$B$3)),INDEX(orderHistory[customer],SMALL(IF(ISNUMBER(MATCH(orderHistory[customer],$D$9,0)*MATCH(orderHistory[status],$D$11,0)*MATCH(orderHistory[order_type],$D$13,0)),MATCH(ROW(orderHistory[customer]),ROW(orderHistory[customer])),""),ROWS($A$15:A37)+$B$3))))),"")</f>
        <v/>
      </c>
      <c r="M32" s="391" t="str">
        <f t="array" ref="M32">IFERROR(IF($D$9="",IF($D$11="",IF($D$13="",INDEX(orderHistory[order_no],SMALL(MATCH(ROW(orderHistory[customer]),ROW(orderHistory[customer])),ROWS($A$15:A37)+$B$3)),INDEX(orderHistory[order_no],SMALL(IF(ISNUMBER(MATCH(orderHistory[order_type],$D$13,0)),MATCH(ROW(orderHistory[customer]),ROW(orderHistory[customer])),""),ROWS($A$15:A37)+$B$3))),IF($D$13="",INDEX(orderHistory[order_no],SMALL(IF(ISNUMBER(MATCH(orderHistory[status],$D$11,0)),MATCH(ROW(orderHistory[customer]),ROW(orderHistory[customer])),""),ROWS($A$15:A37)+$B$3)),INDEX(orderHistory[order_no],SMALL(IF(ISNUMBER(MATCH(orderHistory[status],$D$11,0)*MATCH(orderHistory[order_type],$D$13,0)),MATCH(ROW(orderHistory[customer]),ROW(orderHistory[customer])),""),ROWS($A$15:A37)+$B$3)))),IF($D$11="",IF($D$13="",INDEX(orderHistory[order_no],SMALL(IF(ISNUMBER(MATCH(orderHistory[customer],$D$9,0)),MATCH(ROW(orderHistory[customer]),ROW(orderHistory[customer])),""),ROWS($A$15:A37)+$B$3)),INDEX(orderHistory[order_no],SMALL(IF(ISNUMBER(MATCH(orderHistory[customer],$D$9,0)*MATCH(orderHistory[order_type],$D$13,0)),MATCH(ROW(orderHistory[customer]),ROW(orderHistory[customer])),""),ROWS($A$15:A37)+$B$3))),IF($D$13="",INDEX(orderHistory[order_no],SMALL(IF(ISNUMBER(MATCH(orderHistory[customer],$D$9,0)*MATCH(orderHistory[status],$D$11,0)),MATCH(ROW(orderHistory[customer]),ROW(orderHistory[customer])),""),ROWS($A$15:A37)+$B$3)),INDEX(orderHistory[order_no],SMALL(IF(ISNUMBER(MATCH(orderHistory[customer],$D$9,0)*MATCH(orderHistory[status],$D$11,0)*MATCH(orderHistory[order_type],$D$13,0)),MATCH(ROW(orderHistory[customer]),ROW(orderHistory[customer])),""),ROWS($A$15:A37)+$B$3))))),"")</f>
        <v/>
      </c>
      <c r="N32" s="386" t="str">
        <f t="array" ref="N32">IFERROR(IF($D$9="",IF($D$11="",IF($D$13="",INDEX(orderHistory[order_type],SMALL(MATCH(ROW(orderHistory[customer]),ROW(orderHistory[customer])),ROWS($A$15:A37)+$B$3)),INDEX(orderHistory[order_type],SMALL(IF(ISNUMBER(MATCH(orderHistory[order_type],$D$13,0)),MATCH(ROW(orderHistory[customer]),ROW(orderHistory[customer])),""),ROWS($A$15:A37)+$B$3))),IF($D$13="",INDEX(orderHistory[order_type],SMALL(IF(ISNUMBER(MATCH(orderHistory[status],$D$11,0)),MATCH(ROW(orderHistory[customer]),ROW(orderHistory[customer])),""),ROWS($A$15:A37)+$B$3)),INDEX(orderHistory[order_type],SMALL(IF(ISNUMBER(MATCH(orderHistory[status],$D$11,0)*MATCH(orderHistory[order_type],$D$13,0)),MATCH(ROW(orderHistory[customer]),ROW(orderHistory[customer])),""),ROWS($A$15:A37)+$B$3)))),IF($D$11="",IF($D$13="",INDEX(orderHistory[order_type],SMALL(IF(ISNUMBER(MATCH(orderHistory[customer],$D$9,0)),MATCH(ROW(orderHistory[customer]),ROW(orderHistory[customer])),""),ROWS($A$15:A37)+$B$3)),INDEX(orderHistory[order_type],SMALL(IF(ISNUMBER(MATCH(orderHistory[customer],$D$9,0)*MATCH(orderHistory[order_type],$D$13,0)),MATCH(ROW(orderHistory[customer]),ROW(orderHistory[customer])),""),ROWS($A$15:A37)+$B$3))),IF($D$13="",INDEX(orderHistory[order_type],SMALL(IF(ISNUMBER(MATCH(orderHistory[customer],$D$9,0)*MATCH(orderHistory[status],$D$11,0)),MATCH(ROW(orderHistory[customer]),ROW(orderHistory[customer])),""),ROWS($A$15:A37)+$B$3)),INDEX(orderHistory[order_type],SMALL(IF(ISNUMBER(MATCH(orderHistory[customer],$D$9,0)*MATCH(orderHistory[status],$D$11,0)*MATCH(orderHistory[order_type],$D$13,0)),MATCH(ROW(orderHistory[customer]),ROW(orderHistory[customer])),""),ROWS($A$15:A37)+$B$3))))),"")</f>
        <v/>
      </c>
      <c r="O32" s="275" t="str">
        <f t="array" ref="O32">IFERROR(IF($D$9="",IF($D$11="",IF($D$13="",INDEX(orderHistory[order_date],SMALL(MATCH(ROW(orderHistory[customer]),ROW(orderHistory[customer])),ROWS($A$15:A37)+$B$3)),INDEX(orderHistory[order_date],SMALL(IF(ISNUMBER(MATCH(orderHistory[order_type],$D$13,0)),MATCH(ROW(orderHistory[customer]),ROW(orderHistory[customer])),""),ROWS($A$15:A37)+$B$3))),IF($D$13="",INDEX(orderHistory[order_date],SMALL(IF(ISNUMBER(MATCH(orderHistory[status],$D$11,0)),MATCH(ROW(orderHistory[customer]),ROW(orderHistory[customer])),""),ROWS($A$15:A37)+$B$3)),INDEX(orderHistory[order_date],SMALL(IF(ISNUMBER(MATCH(orderHistory[status],$D$11,0)*MATCH(orderHistory[order_type],$D$13,0)),MATCH(ROW(orderHistory[customer]),ROW(orderHistory[customer])),""),ROWS($A$15:A37)+$B$3)))),IF($D$11="",IF($D$13="",INDEX(orderHistory[order_date],SMALL(IF(ISNUMBER(MATCH(orderHistory[customer],$D$9,0)),MATCH(ROW(orderHistory[customer]),ROW(orderHistory[customer])),""),ROWS($A$15:A37)+$B$3)),INDEX(orderHistory[order_date],SMALL(IF(ISNUMBER(MATCH(orderHistory[customer],$D$9,0)*MATCH(orderHistory[order_type],$D$13,0)),MATCH(ROW(orderHistory[customer]),ROW(orderHistory[customer])),""),ROWS($A$15:A37)+$B$3))),IF($D$13="",INDEX(orderHistory[order_date],SMALL(IF(ISNUMBER(MATCH(orderHistory[customer],$D$9,0)*MATCH(orderHistory[status],$D$11,0)),MATCH(ROW(orderHistory[customer]),ROW(orderHistory[customer])),""),ROWS($A$15:A37)+$B$3)),INDEX(orderHistory[order_date],SMALL(IF(ISNUMBER(MATCH(orderHistory[customer],$D$9,0)*MATCH(orderHistory[status],$D$11,0)*MATCH(orderHistory[order_type],$D$13,0)),MATCH(ROW(orderHistory[customer]),ROW(orderHistory[customer])),""),ROWS($A$15:A37)+$B$3))))),"")</f>
        <v/>
      </c>
      <c r="P32" s="379" t="str">
        <f t="array" ref="P32">IF(IFERROR(IF($D$9="",IF($D$11="",IF($D$13="",INDEX(orderHistory[invoice_no],SMALL(MATCH(ROW(orderHistory[customer]),ROW(orderHistory[customer])),ROWS($A$15:A37)+$B$3)),INDEX(orderHistory[invoice_no],SMALL(IF(ISNUMBER(MATCH(orderHistory[order_type],$D$13,0)),MATCH(ROW(orderHistory[customer]),ROW(orderHistory[customer])),""),ROWS($A$15:A37)+$B$3))),IF($D$13="",INDEX(orderHistory[invoice_no],SMALL(IF(ISNUMBER(MATCH(orderHistory[status],$D$11,0)),MATCH(ROW(orderHistory[customer]),ROW(orderHistory[customer])),""),ROWS($A$15:A37)+$B$3)),INDEX(orderHistory[invoice_no],SMALL(IF(ISNUMBER(MATCH(orderHistory[status],$D$11,0)*MATCH(orderHistory[order_type],$D$13,0)),MATCH(ROW(orderHistory[customer]),ROW(orderHistory[customer])),""),ROWS($A$15:A37)+$B$3)))),IF($D$11="",IF($D$13="",INDEX(orderHistory[invoice_no],SMALL(IF(ISNUMBER(MATCH(orderHistory[customer],$D$9,0)),MATCH(ROW(orderHistory[customer]),ROW(orderHistory[customer])),""),ROWS($A$15:A37)+$B$3)),INDEX(orderHistory[invoice_no],SMALL(IF(ISNUMBER(MATCH(orderHistory[customer],$D$9,0)*MATCH(orderHistory[order_type],$D$13,0)),MATCH(ROW(orderHistory[customer]),ROW(orderHistory[customer])),""),ROWS($A$15:A37)+$B$3))),IF($D$13="",INDEX(orderHistory[invoice_no],SMALL(IF(ISNUMBER(MATCH(orderHistory[customer],$D$9,0)*MATCH(orderHistory[status],$D$11,0)),MATCH(ROW(orderHistory[customer]),ROW(orderHistory[customer])),""),ROWS($A$15:A37)+$B$3)),INDEX(orderHistory[invoice_no],SMALL(IF(ISNUMBER(MATCH(orderHistory[customer],$D$9,0)*MATCH(orderHistory[status],$D$11,0)*MATCH(orderHistory[order_type],$D$13,0)),MATCH(ROW(orderHistory[customer]),ROW(orderHistory[customer])),""),ROWS($A$15:A37)+$B$3))))),"")=0,"",IFERROR(IF($D$9="",IF($D$11="",IF($D$13="",INDEX(orderHistory[invoice_no],SMALL(MATCH(ROW(orderHistory[customer]),ROW(orderHistory[customer])),ROWS($A$15:A37)+$B$3)),INDEX(orderHistory[invoice_no],SMALL(IF(ISNUMBER(MATCH(orderHistory[order_type],$D$13,0)),MATCH(ROW(orderHistory[customer]),ROW(orderHistory[customer])),""),ROWS($A$15:A37)+$B$3))),IF($D$13="",INDEX(orderHistory[invoice_no],SMALL(IF(ISNUMBER(MATCH(orderHistory[status],$D$11,0)),MATCH(ROW(orderHistory[customer]),ROW(orderHistory[customer])),""),ROWS($A$15:A37)+$B$3)),INDEX(orderHistory[invoice_no],SMALL(IF(ISNUMBER(MATCH(orderHistory[status],$D$11,0)*MATCH(orderHistory[order_type],$D$13,0)),MATCH(ROW(orderHistory[customer]),ROW(orderHistory[customer])),""),ROWS($A$15:A37)+$B$3)))),IF($D$11="",IF($D$13="",INDEX(orderHistory[invoice_no],SMALL(IF(ISNUMBER(MATCH(orderHistory[customer],$D$9,0)),MATCH(ROW(orderHistory[customer]),ROW(orderHistory[customer])),""),ROWS($A$15:A37)+$B$3)),INDEX(orderHistory[invoice_no],SMALL(IF(ISNUMBER(MATCH(orderHistory[customer],$D$9,0)*MATCH(orderHistory[order_type],$D$13,0)),MATCH(ROW(orderHistory[customer]),ROW(orderHistory[customer])),""),ROWS($A$15:A37)+$B$3))),IF($D$13="",INDEX(orderHistory[invoice_no],SMALL(IF(ISNUMBER(MATCH(orderHistory[customer],$D$9,0)*MATCH(orderHistory[status],$D$11,0)),MATCH(ROW(orderHistory[customer]),ROW(orderHistory[customer])),""),ROWS($A$15:A37)+$B$3)),INDEX(orderHistory[invoice_no],SMALL(IF(ISNUMBER(MATCH(orderHistory[customer],$D$9,0)*MATCH(orderHistory[status],$D$11,0)*MATCH(orderHistory[order_type],$D$13,0)),MATCH(ROW(orderHistory[customer]),ROW(orderHistory[customer])),""),ROWS($A$15:A37)+$B$3))))),""))</f>
        <v/>
      </c>
      <c r="Q32" s="381" t="str">
        <f t="array" ref="Q32">IF(IFERROR(IF($D$9="",IF($D$11="",IF($D$13="",INDEX(orderHistory[invoice_date],SMALL(MATCH(ROW(orderHistory[customer]),ROW(orderHistory[customer])),ROWS($A$15:A37)+$B$3)),INDEX(orderHistory[invoice_date],SMALL(IF(ISNUMBER(MATCH(orderHistory[order_type],$D$13,0)),MATCH(ROW(orderHistory[customer]),ROW(orderHistory[customer])),""),ROWS($A$15:A37)+$B$3))),IF($D$13="",INDEX(orderHistory[invoice_date],SMALL(IF(ISNUMBER(MATCH(orderHistory[status],$D$11,0)),MATCH(ROW(orderHistory[customer]),ROW(orderHistory[customer])),""),ROWS($A$15:A37)+$B$3)),INDEX(orderHistory[invoice_date],SMALL(IF(ISNUMBER(MATCH(orderHistory[status],$D$11,0)*MATCH(orderHistory[order_type],$D$13,0)),MATCH(ROW(orderHistory[customer]),ROW(orderHistory[customer])),""),ROWS($A$15:A37)+$B$3)))),IF($D$11="",IF($D$13="",INDEX(orderHistory[invoice_date],SMALL(IF(ISNUMBER(MATCH(orderHistory[customer],$D$9,0)),MATCH(ROW(orderHistory[customer]),ROW(orderHistory[customer])),""),ROWS($A$15:A37)+$B$3)),INDEX(orderHistory[invoice_date],SMALL(IF(ISNUMBER(MATCH(orderHistory[customer],$D$9,0)*MATCH(orderHistory[order_type],$D$13,0)),MATCH(ROW(orderHistory[customer]),ROW(orderHistory[customer])),""),ROWS($A$15:A37)+$B$3))),IF($D$13="",INDEX(orderHistory[invoice_date],SMALL(IF(ISNUMBER(MATCH(orderHistory[customer],$D$9,0)*MATCH(orderHistory[status],$D$11,0)),MATCH(ROW(orderHistory[customer]),ROW(orderHistory[customer])),""),ROWS($A$15:A37)+$B$3)),INDEX(orderHistory[invoice_date],SMALL(IF(ISNUMBER(MATCH(orderHistory[customer],$D$9,0)*MATCH(orderHistory[status],$D$11,0)*MATCH(orderHistory[order_type],$D$13,0)),MATCH(ROW(orderHistory[customer]),ROW(orderHistory[customer])),""),ROWS($A$15:A37)+$B$3))))),"")=0,"",IFERROR(IF($D$9="",IF($D$11="",IF($D$13="",INDEX(orderHistory[invoice_date],SMALL(MATCH(ROW(orderHistory[customer]),ROW(orderHistory[customer])),ROWS($A$15:A37)+$B$3)),INDEX(orderHistory[invoice_date],SMALL(IF(ISNUMBER(MATCH(orderHistory[order_type],$D$13,0)),MATCH(ROW(orderHistory[customer]),ROW(orderHistory[customer])),""),ROWS($A$15:A37)+$B$3))),IF($D$13="",INDEX(orderHistory[invoice_date],SMALL(IF(ISNUMBER(MATCH(orderHistory[status],$D$11,0)),MATCH(ROW(orderHistory[customer]),ROW(orderHistory[customer])),""),ROWS($A$15:A37)+$B$3)),INDEX(orderHistory[invoice_date],SMALL(IF(ISNUMBER(MATCH(orderHistory[status],$D$11,0)*MATCH(orderHistory[order_type],$D$13,0)),MATCH(ROW(orderHistory[customer]),ROW(orderHistory[customer])),""),ROWS($A$15:A37)+$B$3)))),IF($D$11="",IF($D$13="",INDEX(orderHistory[invoice_date],SMALL(IF(ISNUMBER(MATCH(orderHistory[customer],$D$9,0)),MATCH(ROW(orderHistory[customer]),ROW(orderHistory[customer])),""),ROWS($A$15:A37)+$B$3)),INDEX(orderHistory[invoice_date],SMALL(IF(ISNUMBER(MATCH(orderHistory[customer],$D$9,0)*MATCH(orderHistory[order_type],$D$13,0)),MATCH(ROW(orderHistory[customer]),ROW(orderHistory[customer])),""),ROWS($A$15:A37)+$B$3))),IF($D$13="",INDEX(orderHistory[invoice_date],SMALL(IF(ISNUMBER(MATCH(orderHistory[customer],$D$9,0)*MATCH(orderHistory[status],$D$11,0)),MATCH(ROW(orderHistory[customer]),ROW(orderHistory[customer])),""),ROWS($A$15:A37)+$B$3)),INDEX(orderHistory[invoice_date],SMALL(IF(ISNUMBER(MATCH(orderHistory[customer],$D$9,0)*MATCH(orderHistory[status],$D$11,0)*MATCH(orderHistory[order_type],$D$13,0)),MATCH(ROW(orderHistory[customer]),ROW(orderHistory[customer])),""),ROWS($A$15:A37)+$B$3))))),""))</f>
        <v/>
      </c>
      <c r="R32" s="377" t="str">
        <f t="array" ref="R32">IFERROR(IF($D$9="",IF($D$11="",IF($D$13="",INDEX(orderHistory[inv_amount],SMALL(MATCH(ROW(orderHistory[customer]),ROW(orderHistory[customer])),ROWS($A$15:A37)+$B$3)),INDEX(orderHistory[inv_amount],SMALL(IF(ISNUMBER(MATCH(orderHistory[order_type],$D$13,0)),MATCH(ROW(orderHistory[customer]),ROW(orderHistory[customer])),""),ROWS($A$15:A37)+$B$3))),IF($D$13="",INDEX(orderHistory[inv_amount],SMALL(IF(ISNUMBER(MATCH(orderHistory[status],$D$11,0)),MATCH(ROW(orderHistory[customer]),ROW(orderHistory[customer])),""),ROWS($A$15:A37)+$B$3)),INDEX(orderHistory[inv_amount],SMALL(IF(ISNUMBER(MATCH(orderHistory[status],$D$11,0)*MATCH(orderHistory[order_type],$D$13,0)),MATCH(ROW(orderHistory[customer]),ROW(orderHistory[customer])),""),ROWS($A$15:A37)+$B$3)))),IF($D$11="",IF($D$13="",INDEX(orderHistory[inv_amount],SMALL(IF(ISNUMBER(MATCH(orderHistory[customer],$D$9,0)),MATCH(ROW(orderHistory[customer]),ROW(orderHistory[customer])),""),ROWS($A$15:A37)+$B$3)),INDEX(orderHistory[inv_amount],SMALL(IF(ISNUMBER(MATCH(orderHistory[customer],$D$9,0)*MATCH(orderHistory[order_type],$D$13,0)),MATCH(ROW(orderHistory[customer]),ROW(orderHistory[customer])),""),ROWS($A$15:A37)+$B$3))),IF($D$13="",INDEX(orderHistory[inv_amount],SMALL(IF(ISNUMBER(MATCH(orderHistory[customer],$D$9,0)*MATCH(orderHistory[status],$D$11,0)),MATCH(ROW(orderHistory[customer]),ROW(orderHistory[customer])),""),ROWS($A$15:A37)+$B$3)),INDEX(orderHistory[inv_amount],SMALL(IF(ISNUMBER(MATCH(orderHistory[customer],$D$9,0)*MATCH(orderHistory[status],$D$11,0)*MATCH(orderHistory[order_type],$D$13,0)),MATCH(ROW(orderHistory[customer]),ROW(orderHistory[customer])),""),ROWS($A$15:A37)+$B$3))))),"")</f>
        <v/>
      </c>
      <c r="S32" s="383" t="str">
        <f t="shared" si="0"/>
        <v/>
      </c>
      <c r="T32" s="385" t="str">
        <f t="array" ref="T32">IFERROR(IF($D$9="",IF($D$11="",IF($D$13="",INDEX(orderHistory[payed],SMALL(MATCH(ROW(orderHistory[customer]),ROW(orderHistory[customer])),ROWS($A$15:A37)+$B$3)),INDEX(orderHistory[payed],SMALL(IF(ISNUMBER(MATCH(orderHistory[order_type],$D$13,0)),MATCH(ROW(orderHistory[customer]),ROW(orderHistory[customer])),""),ROWS($A$15:A37)+$B$3))),IF($D$13="",INDEX(orderHistory[payed],SMALL(IF(ISNUMBER(MATCH(orderHistory[status],$D$11,0)),MATCH(ROW(orderHistory[customer]),ROW(orderHistory[customer])),""),ROWS($A$15:A37)+$B$3)),INDEX(orderHistory[payed],SMALL(IF(ISNUMBER(MATCH(orderHistory[status],$D$11,0)*MATCH(orderHistory[order_type],$D$13,0)),MATCH(ROW(orderHistory[customer]),ROW(orderHistory[customer])),""),ROWS($A$15:A37)+$B$3)))),IF($D$11="",IF($D$13="",INDEX(orderHistory[payed],SMALL(IF(ISNUMBER(MATCH(orderHistory[customer],$D$9,0)),MATCH(ROW(orderHistory[customer]),ROW(orderHistory[customer])),""),ROWS($A$15:A37)+$B$3)),INDEX(orderHistory[payed],SMALL(IF(ISNUMBER(MATCH(orderHistory[customer],$D$9,0)*MATCH(orderHistory[order_type],$D$13,0)),MATCH(ROW(orderHistory[customer]),ROW(orderHistory[customer])),""),ROWS($A$15:A37)+$B$3))),IF($D$13="",INDEX(orderHistory[payed],SMALL(IF(ISNUMBER(MATCH(orderHistory[customer],$D$9,0)*MATCH(orderHistory[status],$D$11,0)),MATCH(ROW(orderHistory[customer]),ROW(orderHistory[customer])),""),ROWS($A$15:A37)+$B$3)),INDEX(orderHistory[payed],SMALL(IF(ISNUMBER(MATCH(orderHistory[customer],$D$9,0)*MATCH(orderHistory[status],$D$11,0)*MATCH(orderHistory[order_type],$D$13,0)),MATCH(ROW(orderHistory[customer]),ROW(orderHistory[customer])),""),ROWS($A$15:A37)+$B$3))))),"")</f>
        <v/>
      </c>
      <c r="U32" s="386" t="str">
        <f t="array" ref="U32">IFERROR(IF($D$9="",IF($D$11="",IF($D$13="",INDEX(orderHistory[shipping_method],SMALL(MATCH(ROW(orderHistory[customer]),ROW(orderHistory[customer])),ROWS($A$15:A37)+$B$3)),INDEX(orderHistory[shipping_method],SMALL(IF(ISNUMBER(MATCH(orderHistory[order_type],$D$13,0)),MATCH(ROW(orderHistory[customer]),ROW(orderHistory[customer])),""),ROWS($A$15:A37)+$B$3))),IF($D$13="",INDEX(orderHistory[shipping_method],SMALL(IF(ISNUMBER(MATCH(orderHistory[status],$D$11,0)),MATCH(ROW(orderHistory[customer]),ROW(orderHistory[customer])),""),ROWS($A$15:A37)+$B$3)),INDEX(orderHistory[shipping_method],SMALL(IF(ISNUMBER(MATCH(orderHistory[status],$D$11,0)*MATCH(orderHistory[order_type],$D$13,0)),MATCH(ROW(orderHistory[customer]),ROW(orderHistory[customer])),""),ROWS($A$15:A37)+$B$3)))),IF($D$11="",IF($D$13="",INDEX(orderHistory[shipping_method],SMALL(IF(ISNUMBER(MATCH(orderHistory[customer],$D$9,0)),MATCH(ROW(orderHistory[customer]),ROW(orderHistory[customer])),""),ROWS($A$15:A37)+$B$3)),INDEX(orderHistory[shipping_method],SMALL(IF(ISNUMBER(MATCH(orderHistory[customer],$D$9,0)*MATCH(orderHistory[order_type],$D$13,0)),MATCH(ROW(orderHistory[customer]),ROW(orderHistory[customer])),""),ROWS($A$15:A37)+$B$3))),IF($D$13="",INDEX(orderHistory[shipping_method],SMALL(IF(ISNUMBER(MATCH(orderHistory[customer],$D$9,0)*MATCH(orderHistory[status],$D$11,0)),MATCH(ROW(orderHistory[customer]),ROW(orderHistory[customer])),""),ROWS($A$15:A37)+$B$3)),INDEX(orderHistory[shipping_method],SMALL(IF(ISNUMBER(MATCH(orderHistory[customer],$D$9,0)*MATCH(orderHistory[status],$D$11,0)*MATCH(orderHistory[order_type],$D$13,0)),MATCH(ROW(orderHistory[customer]),ROW(orderHistory[customer])),""),ROWS($A$15:A37)+$B$3))))),"")</f>
        <v/>
      </c>
      <c r="V32" s="387" t="str">
        <f t="array" ref="V32">IFERROR(IF($D$9="",IF($D$11="",IF($D$13="",INDEX(orderHistory[status],SMALL(MATCH(ROW(orderHistory[customer]),ROW(orderHistory[customer])),ROWS($A$15:A37)+$B$3)),INDEX(orderHistory[status],SMALL(IF(ISNUMBER(MATCH(orderHistory[order_type],$D$13,0)),MATCH(ROW(orderHistory[customer]),ROW(orderHistory[customer])),""),ROWS($A$15:A37)+$B$3))),IF($D$13="",INDEX(orderHistory[status],SMALL(IF(ISNUMBER(MATCH(orderHistory[status],$D$11,0)),MATCH(ROW(orderHistory[customer]),ROW(orderHistory[customer])),""),ROWS($A$15:A37)+$B$3)),INDEX(orderHistory[status],SMALL(IF(ISNUMBER(MATCH(orderHistory[status],$D$11,0)*MATCH(orderHistory[order_type],$D$13,0)),MATCH(ROW(orderHistory[customer]),ROW(orderHistory[customer])),""),ROWS($A$15:A37)+$B$3)))),IF($D$11="",IF($D$13="",INDEX(orderHistory[status],SMALL(IF(ISNUMBER(MATCH(orderHistory[customer],$D$9,0)),MATCH(ROW(orderHistory[customer]),ROW(orderHistory[customer])),""),ROWS($A$15:A37)+$B$3)),INDEX(orderHistory[status],SMALL(IF(ISNUMBER(MATCH(orderHistory[customer],$D$9,0)*MATCH(orderHistory[order_type],$D$13,0)),MATCH(ROW(orderHistory[customer]),ROW(orderHistory[customer])),""),ROWS($A$15:A37)+$B$3))),IF($D$13="",INDEX(orderHistory[status],SMALL(IF(ISNUMBER(MATCH(orderHistory[customer],$D$9,0)*MATCH(orderHistory[status],$D$11,0)),MATCH(ROW(orderHistory[customer]),ROW(orderHistory[customer])),""),ROWS($A$15:A37)+$B$3)),INDEX(orderHistory[status],SMALL(IF(ISNUMBER(MATCH(orderHistory[customer],$D$9,0)*MATCH(orderHistory[status],$D$11,0)*MATCH(orderHistory[order_type],$D$13,0)),MATCH(ROW(orderHistory[customer]),ROW(orderHistory[customer])),""),ROWS($A$15:A37)+$B$3))))),"")</f>
        <v/>
      </c>
      <c r="W32" s="111" t="str">
        <f t="array" ref="W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Z32" t="str">
        <f t="array" ref="Z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A32" t="str">
        <f t="array" ref="AA32">IFERROR(IF($J$5="",INDEX(#REF!, SMALL(IF(ISNUMBER(MATCH(YEAR(orderHistory[order_date]), $P$5, 0)*MATCH(#REF!,$R$5,0)*MATCH(#REF!,$D$11,0)), MATCH(ROW(orderHistory[customer]),ROW(orderHistory[customer])), ""), ROWS($A$1:E23)+$B$3)),INDEX(#REF!, SMALL(IF(ISNUMBER(MATCH(orderHistory[customer], $J$5, 0)*MATCH(YEAR(orderHistory[order_date]),$P$5,0)*MATCH(#REF!,$R$5,0)*MATCH(#REF!,$D$11,0)), MATCH(ROW(orderHistory[customer]),ROW(orderHistory[customer])), ""), ROWS($A$1:E23)+$B$3))),"")</f>
        <v/>
      </c>
      <c r="AQ32" s="125" t="s">
        <v>733</v>
      </c>
      <c r="AR32" s="171">
        <f>IF(AR30="","",AR31+(AR29*IF(AR28="80x120",20,25)))</f>
        <v>317</v>
      </c>
      <c r="AS32" s="265"/>
      <c r="AT32" s="138"/>
      <c r="AU32" s="121"/>
      <c r="AW32" s="131"/>
      <c r="AX32" s="268" t="b">
        <v>0</v>
      </c>
      <c r="AY32" s="120"/>
      <c r="AZ32" s="120"/>
      <c r="BA32" s="134" t="s">
        <v>1297</v>
      </c>
      <c r="BB32" s="977">
        <v>45436</v>
      </c>
      <c r="BC32" s="978"/>
      <c r="BD32" s="979"/>
      <c r="BE32" s="120"/>
      <c r="BF32" s="678"/>
      <c r="BG32" s="175"/>
      <c r="BH32" s="120"/>
      <c r="BI32" s="291"/>
      <c r="BJ32" s="121"/>
      <c r="BK32" s="146"/>
      <c r="BL32" s="147"/>
      <c r="BM32" s="148"/>
      <c r="BN32" s="147"/>
      <c r="BO32" s="148"/>
      <c r="BZ32" s="304"/>
      <c r="CA32" s="270" t="str">
        <f>IF(BZ32="","",VLOOKUP(BZ32,bhpc_data[],7,FALSE))</f>
        <v/>
      </c>
      <c r="CB32" s="303"/>
      <c r="CC32" s="643"/>
      <c r="CD32" s="297"/>
      <c r="CE32" s="645"/>
      <c r="CF32" s="298"/>
      <c r="CG32" s="301" t="str">
        <f>IFERROR(ROUNDUP(CB32/VLOOKUP(BZ32,bhpc_data[],9,FALSE),0)+ROUNDUP(CD32/VLOOKUP(BZ32,bhpc_data[],9,FALSE),0),"")</f>
        <v/>
      </c>
      <c r="CH32" s="302" t="str">
        <f>IFERROR(ROUNDUP(CD32/VLOOKUP(BZ32,bhpc_data[],9,FALSE),0),"")</f>
        <v/>
      </c>
      <c r="CI32" s="302" t="str">
        <f>IFERROR(ROUNDUP(CF32/VLOOKUP(BZ32,bhpc_data[],9,FALSE),0),"")</f>
        <v/>
      </c>
      <c r="CJ32" s="302" t="str">
        <f>IFERROR(((CB32+CD32+CF32)/VLOOKUP(BZ32,bhpc_data[],9,FALSE))*VLOOKUP(BZ32,bhpc_data[],17,FALSE),"")</f>
        <v/>
      </c>
      <c r="CK32" s="302" t="str">
        <f>IFERROR(((CB32+CD32+CF32)/VLOOKUP(BZ32,bhpc_data[],9,FALSE))*VLOOKUP(BZ32,bhpc_data[],18,FALSE),"")</f>
        <v/>
      </c>
      <c r="CL32" s="346" t="str">
        <f>IFERROR((CB32+CD32)/VLOOKUP(BZ32,bhpc_data[],9,FALSE)*VLOOKUP(BZ32,bhpc_data[],14,FALSE)*VLOOKUP(BZ32,bhpc_data[],15,FALSE)*VLOOKUP(BZ32,bhpc_data[],16,FALSE)/1000000000,"")</f>
        <v/>
      </c>
      <c r="CM32" s="409" t="str">
        <f>IFERROR(VLOOKUP(BZ32,bhpc_data[],2,FALSE),"")</f>
        <v/>
      </c>
      <c r="CN32" s="409" t="str">
        <f>IFERROR(VLOOKUP(BZ32,bhpc_data[],19,FALSE),"")</f>
        <v/>
      </c>
      <c r="CO32" s="653" t="str">
        <f>IFERROR(VLOOKUP(BZ32,bhpc_data[],6,FALSE),"")</f>
        <v/>
      </c>
      <c r="CP32" s="654" t="str">
        <f>IFERROR(VLOOKUP(BZ32,inventory[],4,FALSE),"")</f>
        <v/>
      </c>
      <c r="CQ32" s="655" t="str">
        <f>IFERROR(IF(BZ32="","",IF($BX$15="SALE",VLOOKUP(BZ32,inventory[],5,FALSE),IF($BX$15="SAMPLING",VLOOKUP(BZ32,inventory[],5,FALSE),""))),"")</f>
        <v/>
      </c>
      <c r="CR32" s="656" t="str">
        <f>IFERROR(IF(BZ32="","",(CB32+CD32+CF32)*CQ32),"")</f>
        <v/>
      </c>
      <c r="CS32" s="557" t="str">
        <f>IF(BZ32="","",CB32*CC32+CD32*CE32)</f>
        <v/>
      </c>
      <c r="CU32" s="129"/>
      <c r="CV32" s="122"/>
      <c r="CW32" s="122"/>
      <c r="CX32" s="122"/>
      <c r="CY32" s="595"/>
      <c r="CZ32" s="123"/>
      <c r="DA32" s="540" t="str">
        <f>IFERROR(VLOOKUP(BZ32,bhpc_data[],22,FALSE),"")</f>
        <v/>
      </c>
      <c r="DF32" s="131"/>
      <c r="DG32" s="120"/>
      <c r="DH32" s="162"/>
      <c r="DI32" s="120"/>
      <c r="DJ32" s="120"/>
      <c r="DK32" s="120"/>
      <c r="DL32" s="120"/>
      <c r="DM32" s="120"/>
      <c r="DN32" s="292"/>
      <c r="DO32" s="291"/>
      <c r="DP32" s="291"/>
      <c r="DQ32" s="291"/>
      <c r="DR32" s="291"/>
      <c r="DS32" s="291"/>
      <c r="DT32" s="291"/>
      <c r="DU32" s="291"/>
      <c r="DV32" s="121"/>
      <c r="EE32" s="453" t="s">
        <v>88</v>
      </c>
      <c r="EF32" s="447" t="str">
        <f>VLOOKUP(EE32,bhpc_data[],7,FALSE)</f>
        <v>BHPC WOMEN 8 EDP 50ML</v>
      </c>
      <c r="EG32" s="555">
        <f>IFERROR(VLOOKUP(EE32,inventory[],4,FALSE),0)</f>
        <v>9</v>
      </c>
      <c r="EH32" s="555">
        <f>IFERROR(VLOOKUP(warehouse[[#This Row],[SKU]],$EQ$10:$ES$38,3,FALSE),0)</f>
        <v>4608</v>
      </c>
      <c r="EI32" s="555">
        <f>IFERROR(VLOOKUP(warehouse[[#This Row],[SKU]],$EM$10:$EO$61,3,FALSE),0)</f>
        <v>0</v>
      </c>
      <c r="EJ32" s="555">
        <f>warehouse[[#This Row],[T-1]]+warehouse[[#This Row],[SUPPLY]]-warehouse[[#This Row],[SALE + SAMPLING]]</f>
        <v>4617</v>
      </c>
      <c r="EM32" s="74" t="s">
        <v>186</v>
      </c>
      <c r="EN32" s="74" t="s">
        <v>187</v>
      </c>
      <c r="EO32" s="431">
        <v>10368</v>
      </c>
      <c r="EQ32" s="74" t="s">
        <v>163</v>
      </c>
      <c r="ER32" s="74" t="s">
        <v>164</v>
      </c>
      <c r="ES32" s="446">
        <v>6371</v>
      </c>
    </row>
    <row r="33" spans="6:149" ht="15" customHeight="1" thickBot="1">
      <c r="F33" s="131"/>
      <c r="G33" s="162" t="s">
        <v>1182</v>
      </c>
      <c r="H33" s="120"/>
      <c r="I33" s="162" t="s">
        <v>1256</v>
      </c>
      <c r="J33" s="121"/>
      <c r="L33" s="274" t="str">
        <f t="array" ref="L33">IFERROR(IF($D$9="",IF($D$11="",IF($D$13="",INDEX(orderHistory[customer],SMALL(MATCH(ROW(orderHistory[customer]),ROW(orderHistory[customer])),ROWS($A$15:A38)+$B$3)),INDEX(orderHistory[customer],SMALL(IF(ISNUMBER(MATCH(orderHistory[order_type],$D$13,0)),MATCH(ROW(orderHistory[customer]),ROW(orderHistory[customer])),""),ROWS($A$15:A38)+$B$3))),IF($D$13="",INDEX(orderHistory[customer],SMALL(IF(ISNUMBER(MATCH(orderHistory[status],$D$11,0)),MATCH(ROW(orderHistory[customer]),ROW(orderHistory[customer])),""),ROWS($A$15:A38)+$B$3)),INDEX(orderHistory[customer],SMALL(IF(ISNUMBER(MATCH(orderHistory[status],$D$11,0)*MATCH(orderHistory[order_type],$D$13,0)),MATCH(ROW(orderHistory[customer]),ROW(orderHistory[customer])),""),ROWS($A$15:A38)+$B$3)))),IF($D$11="",IF($D$13="",INDEX(orderHistory[customer],SMALL(IF(ISNUMBER(MATCH(orderHistory[customer],$D$9,0)),MATCH(ROW(orderHistory[customer]),ROW(orderHistory[customer])),""),ROWS($A$15:A38)+$B$3)),INDEX(orderHistory[customer],SMALL(IF(ISNUMBER(MATCH(orderHistory[customer],$D$9,0)*MATCH(orderHistory[order_type],$D$13,0)),MATCH(ROW(orderHistory[customer]),ROW(orderHistory[customer])),""),ROWS($A$15:A38)+$B$3))),IF($D$13="",INDEX(orderHistory[customer],SMALL(IF(ISNUMBER(MATCH(orderHistory[customer],$D$9,0)*MATCH(orderHistory[status],$D$11,0)),MATCH(ROW(orderHistory[customer]),ROW(orderHistory[customer])),""),ROWS($A$15:A38)+$B$3)),INDEX(orderHistory[customer],SMALL(IF(ISNUMBER(MATCH(orderHistory[customer],$D$9,0)*MATCH(orderHistory[status],$D$11,0)*MATCH(orderHistory[order_type],$D$13,0)),MATCH(ROW(orderHistory[customer]),ROW(orderHistory[customer])),""),ROWS($A$15:A38)+$B$3))))),"")</f>
        <v/>
      </c>
      <c r="M33" s="391" t="str">
        <f t="array" ref="M33">IFERROR(IF($D$9="",IF($D$11="",IF($D$13="",INDEX(orderHistory[order_no],SMALL(MATCH(ROW(orderHistory[customer]),ROW(orderHistory[customer])),ROWS($A$15:A38)+$B$3)),INDEX(orderHistory[order_no],SMALL(IF(ISNUMBER(MATCH(orderHistory[order_type],$D$13,0)),MATCH(ROW(orderHistory[customer]),ROW(orderHistory[customer])),""),ROWS($A$15:A38)+$B$3))),IF($D$13="",INDEX(orderHistory[order_no],SMALL(IF(ISNUMBER(MATCH(orderHistory[status],$D$11,0)),MATCH(ROW(orderHistory[customer]),ROW(orderHistory[customer])),""),ROWS($A$15:A38)+$B$3)),INDEX(orderHistory[order_no],SMALL(IF(ISNUMBER(MATCH(orderHistory[status],$D$11,0)*MATCH(orderHistory[order_type],$D$13,0)),MATCH(ROW(orderHistory[customer]),ROW(orderHistory[customer])),""),ROWS($A$15:A38)+$B$3)))),IF($D$11="",IF($D$13="",INDEX(orderHistory[order_no],SMALL(IF(ISNUMBER(MATCH(orderHistory[customer],$D$9,0)),MATCH(ROW(orderHistory[customer]),ROW(orderHistory[customer])),""),ROWS($A$15:A38)+$B$3)),INDEX(orderHistory[order_no],SMALL(IF(ISNUMBER(MATCH(orderHistory[customer],$D$9,0)*MATCH(orderHistory[order_type],$D$13,0)),MATCH(ROW(orderHistory[customer]),ROW(orderHistory[customer])),""),ROWS($A$15:A38)+$B$3))),IF($D$13="",INDEX(orderHistory[order_no],SMALL(IF(ISNUMBER(MATCH(orderHistory[customer],$D$9,0)*MATCH(orderHistory[status],$D$11,0)),MATCH(ROW(orderHistory[customer]),ROW(orderHistory[customer])),""),ROWS($A$15:A38)+$B$3)),INDEX(orderHistory[order_no],SMALL(IF(ISNUMBER(MATCH(orderHistory[customer],$D$9,0)*MATCH(orderHistory[status],$D$11,0)*MATCH(orderHistory[order_type],$D$13,0)),MATCH(ROW(orderHistory[customer]),ROW(orderHistory[customer])),""),ROWS($A$15:A38)+$B$3))))),"")</f>
        <v/>
      </c>
      <c r="N33" s="386" t="str">
        <f t="array" ref="N33">IFERROR(IF($D$9="",IF($D$11="",IF($D$13="",INDEX(orderHistory[order_type],SMALL(MATCH(ROW(orderHistory[customer]),ROW(orderHistory[customer])),ROWS($A$15:A38)+$B$3)),INDEX(orderHistory[order_type],SMALL(IF(ISNUMBER(MATCH(orderHistory[order_type],$D$13,0)),MATCH(ROW(orderHistory[customer]),ROW(orderHistory[customer])),""),ROWS($A$15:A38)+$B$3))),IF($D$13="",INDEX(orderHistory[order_type],SMALL(IF(ISNUMBER(MATCH(orderHistory[status],$D$11,0)),MATCH(ROW(orderHistory[customer]),ROW(orderHistory[customer])),""),ROWS($A$15:A38)+$B$3)),INDEX(orderHistory[order_type],SMALL(IF(ISNUMBER(MATCH(orderHistory[status],$D$11,0)*MATCH(orderHistory[order_type],$D$13,0)),MATCH(ROW(orderHistory[customer]),ROW(orderHistory[customer])),""),ROWS($A$15:A38)+$B$3)))),IF($D$11="",IF($D$13="",INDEX(orderHistory[order_type],SMALL(IF(ISNUMBER(MATCH(orderHistory[customer],$D$9,0)),MATCH(ROW(orderHistory[customer]),ROW(orderHistory[customer])),""),ROWS($A$15:A38)+$B$3)),INDEX(orderHistory[order_type],SMALL(IF(ISNUMBER(MATCH(orderHistory[customer],$D$9,0)*MATCH(orderHistory[order_type],$D$13,0)),MATCH(ROW(orderHistory[customer]),ROW(orderHistory[customer])),""),ROWS($A$15:A38)+$B$3))),IF($D$13="",INDEX(orderHistory[order_type],SMALL(IF(ISNUMBER(MATCH(orderHistory[customer],$D$9,0)*MATCH(orderHistory[status],$D$11,0)),MATCH(ROW(orderHistory[customer]),ROW(orderHistory[customer])),""),ROWS($A$15:A38)+$B$3)),INDEX(orderHistory[order_type],SMALL(IF(ISNUMBER(MATCH(orderHistory[customer],$D$9,0)*MATCH(orderHistory[status],$D$11,0)*MATCH(orderHistory[order_type],$D$13,0)),MATCH(ROW(orderHistory[customer]),ROW(orderHistory[customer])),""),ROWS($A$15:A38)+$B$3))))),"")</f>
        <v/>
      </c>
      <c r="O33" s="275" t="str">
        <f t="array" ref="O33">IFERROR(IF($D$9="",IF($D$11="",IF($D$13="",INDEX(orderHistory[order_date],SMALL(MATCH(ROW(orderHistory[customer]),ROW(orderHistory[customer])),ROWS($A$15:A38)+$B$3)),INDEX(orderHistory[order_date],SMALL(IF(ISNUMBER(MATCH(orderHistory[order_type],$D$13,0)),MATCH(ROW(orderHistory[customer]),ROW(orderHistory[customer])),""),ROWS($A$15:A38)+$B$3))),IF($D$13="",INDEX(orderHistory[order_date],SMALL(IF(ISNUMBER(MATCH(orderHistory[status],$D$11,0)),MATCH(ROW(orderHistory[customer]),ROW(orderHistory[customer])),""),ROWS($A$15:A38)+$B$3)),INDEX(orderHistory[order_date],SMALL(IF(ISNUMBER(MATCH(orderHistory[status],$D$11,0)*MATCH(orderHistory[order_type],$D$13,0)),MATCH(ROW(orderHistory[customer]),ROW(orderHistory[customer])),""),ROWS($A$15:A38)+$B$3)))),IF($D$11="",IF($D$13="",INDEX(orderHistory[order_date],SMALL(IF(ISNUMBER(MATCH(orderHistory[customer],$D$9,0)),MATCH(ROW(orderHistory[customer]),ROW(orderHistory[customer])),""),ROWS($A$15:A38)+$B$3)),INDEX(orderHistory[order_date],SMALL(IF(ISNUMBER(MATCH(orderHistory[customer],$D$9,0)*MATCH(orderHistory[order_type],$D$13,0)),MATCH(ROW(orderHistory[customer]),ROW(orderHistory[customer])),""),ROWS($A$15:A38)+$B$3))),IF($D$13="",INDEX(orderHistory[order_date],SMALL(IF(ISNUMBER(MATCH(orderHistory[customer],$D$9,0)*MATCH(orderHistory[status],$D$11,0)),MATCH(ROW(orderHistory[customer]),ROW(orderHistory[customer])),""),ROWS($A$15:A38)+$B$3)),INDEX(orderHistory[order_date],SMALL(IF(ISNUMBER(MATCH(orderHistory[customer],$D$9,0)*MATCH(orderHistory[status],$D$11,0)*MATCH(orderHistory[order_type],$D$13,0)),MATCH(ROW(orderHistory[customer]),ROW(orderHistory[customer])),""),ROWS($A$15:A38)+$B$3))))),"")</f>
        <v/>
      </c>
      <c r="P33" s="379" t="str">
        <f t="array" ref="P33">IF(IFERROR(IF($D$9="",IF($D$11="",IF($D$13="",INDEX(orderHistory[invoice_no],SMALL(MATCH(ROW(orderHistory[customer]),ROW(orderHistory[customer])),ROWS($A$15:A38)+$B$3)),INDEX(orderHistory[invoice_no],SMALL(IF(ISNUMBER(MATCH(orderHistory[order_type],$D$13,0)),MATCH(ROW(orderHistory[customer]),ROW(orderHistory[customer])),""),ROWS($A$15:A38)+$B$3))),IF($D$13="",INDEX(orderHistory[invoice_no],SMALL(IF(ISNUMBER(MATCH(orderHistory[status],$D$11,0)),MATCH(ROW(orderHistory[customer]),ROW(orderHistory[customer])),""),ROWS($A$15:A38)+$B$3)),INDEX(orderHistory[invoice_no],SMALL(IF(ISNUMBER(MATCH(orderHistory[status],$D$11,0)*MATCH(orderHistory[order_type],$D$13,0)),MATCH(ROW(orderHistory[customer]),ROW(orderHistory[customer])),""),ROWS($A$15:A38)+$B$3)))),IF($D$11="",IF($D$13="",INDEX(orderHistory[invoice_no],SMALL(IF(ISNUMBER(MATCH(orderHistory[customer],$D$9,0)),MATCH(ROW(orderHistory[customer]),ROW(orderHistory[customer])),""),ROWS($A$15:A38)+$B$3)),INDEX(orderHistory[invoice_no],SMALL(IF(ISNUMBER(MATCH(orderHistory[customer],$D$9,0)*MATCH(orderHistory[order_type],$D$13,0)),MATCH(ROW(orderHistory[customer]),ROW(orderHistory[customer])),""),ROWS($A$15:A38)+$B$3))),IF($D$13="",INDEX(orderHistory[invoice_no],SMALL(IF(ISNUMBER(MATCH(orderHistory[customer],$D$9,0)*MATCH(orderHistory[status],$D$11,0)),MATCH(ROW(orderHistory[customer]),ROW(orderHistory[customer])),""),ROWS($A$15:A38)+$B$3)),INDEX(orderHistory[invoice_no],SMALL(IF(ISNUMBER(MATCH(orderHistory[customer],$D$9,0)*MATCH(orderHistory[status],$D$11,0)*MATCH(orderHistory[order_type],$D$13,0)),MATCH(ROW(orderHistory[customer]),ROW(orderHistory[customer])),""),ROWS($A$15:A38)+$B$3))))),"")=0,"",IFERROR(IF($D$9="",IF($D$11="",IF($D$13="",INDEX(orderHistory[invoice_no],SMALL(MATCH(ROW(orderHistory[customer]),ROW(orderHistory[customer])),ROWS($A$15:A38)+$B$3)),INDEX(orderHistory[invoice_no],SMALL(IF(ISNUMBER(MATCH(orderHistory[order_type],$D$13,0)),MATCH(ROW(orderHistory[customer]),ROW(orderHistory[customer])),""),ROWS($A$15:A38)+$B$3))),IF($D$13="",INDEX(orderHistory[invoice_no],SMALL(IF(ISNUMBER(MATCH(orderHistory[status],$D$11,0)),MATCH(ROW(orderHistory[customer]),ROW(orderHistory[customer])),""),ROWS($A$15:A38)+$B$3)),INDEX(orderHistory[invoice_no],SMALL(IF(ISNUMBER(MATCH(orderHistory[status],$D$11,0)*MATCH(orderHistory[order_type],$D$13,0)),MATCH(ROW(orderHistory[customer]),ROW(orderHistory[customer])),""),ROWS($A$15:A38)+$B$3)))),IF($D$11="",IF($D$13="",INDEX(orderHistory[invoice_no],SMALL(IF(ISNUMBER(MATCH(orderHistory[customer],$D$9,0)),MATCH(ROW(orderHistory[customer]),ROW(orderHistory[customer])),""),ROWS($A$15:A38)+$B$3)),INDEX(orderHistory[invoice_no],SMALL(IF(ISNUMBER(MATCH(orderHistory[customer],$D$9,0)*MATCH(orderHistory[order_type],$D$13,0)),MATCH(ROW(orderHistory[customer]),ROW(orderHistory[customer])),""),ROWS($A$15:A38)+$B$3))),IF($D$13="",INDEX(orderHistory[invoice_no],SMALL(IF(ISNUMBER(MATCH(orderHistory[customer],$D$9,0)*MATCH(orderHistory[status],$D$11,0)),MATCH(ROW(orderHistory[customer]),ROW(orderHistory[customer])),""),ROWS($A$15:A38)+$B$3)),INDEX(orderHistory[invoice_no],SMALL(IF(ISNUMBER(MATCH(orderHistory[customer],$D$9,0)*MATCH(orderHistory[status],$D$11,0)*MATCH(orderHistory[order_type],$D$13,0)),MATCH(ROW(orderHistory[customer]),ROW(orderHistory[customer])),""),ROWS($A$15:A38)+$B$3))))),""))</f>
        <v/>
      </c>
      <c r="Q33" s="381" t="str">
        <f t="array" ref="Q33">IF(IFERROR(IF($D$9="",IF($D$11="",IF($D$13="",INDEX(orderHistory[invoice_date],SMALL(MATCH(ROW(orderHistory[customer]),ROW(orderHistory[customer])),ROWS($A$15:A38)+$B$3)),INDEX(orderHistory[invoice_date],SMALL(IF(ISNUMBER(MATCH(orderHistory[order_type],$D$13,0)),MATCH(ROW(orderHistory[customer]),ROW(orderHistory[customer])),""),ROWS($A$15:A38)+$B$3))),IF($D$13="",INDEX(orderHistory[invoice_date],SMALL(IF(ISNUMBER(MATCH(orderHistory[status],$D$11,0)),MATCH(ROW(orderHistory[customer]),ROW(orderHistory[customer])),""),ROWS($A$15:A38)+$B$3)),INDEX(orderHistory[invoice_date],SMALL(IF(ISNUMBER(MATCH(orderHistory[status],$D$11,0)*MATCH(orderHistory[order_type],$D$13,0)),MATCH(ROW(orderHistory[customer]),ROW(orderHistory[customer])),""),ROWS($A$15:A38)+$B$3)))),IF($D$11="",IF($D$13="",INDEX(orderHistory[invoice_date],SMALL(IF(ISNUMBER(MATCH(orderHistory[customer],$D$9,0)),MATCH(ROW(orderHistory[customer]),ROW(orderHistory[customer])),""),ROWS($A$15:A38)+$B$3)),INDEX(orderHistory[invoice_date],SMALL(IF(ISNUMBER(MATCH(orderHistory[customer],$D$9,0)*MATCH(orderHistory[order_type],$D$13,0)),MATCH(ROW(orderHistory[customer]),ROW(orderHistory[customer])),""),ROWS($A$15:A38)+$B$3))),IF($D$13="",INDEX(orderHistory[invoice_date],SMALL(IF(ISNUMBER(MATCH(orderHistory[customer],$D$9,0)*MATCH(orderHistory[status],$D$11,0)),MATCH(ROW(orderHistory[customer]),ROW(orderHistory[customer])),""),ROWS($A$15:A38)+$B$3)),INDEX(orderHistory[invoice_date],SMALL(IF(ISNUMBER(MATCH(orderHistory[customer],$D$9,0)*MATCH(orderHistory[status],$D$11,0)*MATCH(orderHistory[order_type],$D$13,0)),MATCH(ROW(orderHistory[customer]),ROW(orderHistory[customer])),""),ROWS($A$15:A38)+$B$3))))),"")=0,"",IFERROR(IF($D$9="",IF($D$11="",IF($D$13="",INDEX(orderHistory[invoice_date],SMALL(MATCH(ROW(orderHistory[customer]),ROW(orderHistory[customer])),ROWS($A$15:A38)+$B$3)),INDEX(orderHistory[invoice_date],SMALL(IF(ISNUMBER(MATCH(orderHistory[order_type],$D$13,0)),MATCH(ROW(orderHistory[customer]),ROW(orderHistory[customer])),""),ROWS($A$15:A38)+$B$3))),IF($D$13="",INDEX(orderHistory[invoice_date],SMALL(IF(ISNUMBER(MATCH(orderHistory[status],$D$11,0)),MATCH(ROW(orderHistory[customer]),ROW(orderHistory[customer])),""),ROWS($A$15:A38)+$B$3)),INDEX(orderHistory[invoice_date],SMALL(IF(ISNUMBER(MATCH(orderHistory[status],$D$11,0)*MATCH(orderHistory[order_type],$D$13,0)),MATCH(ROW(orderHistory[customer]),ROW(orderHistory[customer])),""),ROWS($A$15:A38)+$B$3)))),IF($D$11="",IF($D$13="",INDEX(orderHistory[invoice_date],SMALL(IF(ISNUMBER(MATCH(orderHistory[customer],$D$9,0)),MATCH(ROW(orderHistory[customer]),ROW(orderHistory[customer])),""),ROWS($A$15:A38)+$B$3)),INDEX(orderHistory[invoice_date],SMALL(IF(ISNUMBER(MATCH(orderHistory[customer],$D$9,0)*MATCH(orderHistory[order_type],$D$13,0)),MATCH(ROW(orderHistory[customer]),ROW(orderHistory[customer])),""),ROWS($A$15:A38)+$B$3))),IF($D$13="",INDEX(orderHistory[invoice_date],SMALL(IF(ISNUMBER(MATCH(orderHistory[customer],$D$9,0)*MATCH(orderHistory[status],$D$11,0)),MATCH(ROW(orderHistory[customer]),ROW(orderHistory[customer])),""),ROWS($A$15:A38)+$B$3)),INDEX(orderHistory[invoice_date],SMALL(IF(ISNUMBER(MATCH(orderHistory[customer],$D$9,0)*MATCH(orderHistory[status],$D$11,0)*MATCH(orderHistory[order_type],$D$13,0)),MATCH(ROW(orderHistory[customer]),ROW(orderHistory[customer])),""),ROWS($A$15:A38)+$B$3))))),""))</f>
        <v/>
      </c>
      <c r="R33" s="377" t="str">
        <f t="array" ref="R33">IFERROR(IF($D$9="",IF($D$11="",IF($D$13="",INDEX(orderHistory[inv_amount],SMALL(MATCH(ROW(orderHistory[customer]),ROW(orderHistory[customer])),ROWS($A$15:A38)+$B$3)),INDEX(orderHistory[inv_amount],SMALL(IF(ISNUMBER(MATCH(orderHistory[order_type],$D$13,0)),MATCH(ROW(orderHistory[customer]),ROW(orderHistory[customer])),""),ROWS($A$15:A38)+$B$3))),IF($D$13="",INDEX(orderHistory[inv_amount],SMALL(IF(ISNUMBER(MATCH(orderHistory[status],$D$11,0)),MATCH(ROW(orderHistory[customer]),ROW(orderHistory[customer])),""),ROWS($A$15:A38)+$B$3)),INDEX(orderHistory[inv_amount],SMALL(IF(ISNUMBER(MATCH(orderHistory[status],$D$11,0)*MATCH(orderHistory[order_type],$D$13,0)),MATCH(ROW(orderHistory[customer]),ROW(orderHistory[customer])),""),ROWS($A$15:A38)+$B$3)))),IF($D$11="",IF($D$13="",INDEX(orderHistory[inv_amount],SMALL(IF(ISNUMBER(MATCH(orderHistory[customer],$D$9,0)),MATCH(ROW(orderHistory[customer]),ROW(orderHistory[customer])),""),ROWS($A$15:A38)+$B$3)),INDEX(orderHistory[inv_amount],SMALL(IF(ISNUMBER(MATCH(orderHistory[customer],$D$9,0)*MATCH(orderHistory[order_type],$D$13,0)),MATCH(ROW(orderHistory[customer]),ROW(orderHistory[customer])),""),ROWS($A$15:A38)+$B$3))),IF($D$13="",INDEX(orderHistory[inv_amount],SMALL(IF(ISNUMBER(MATCH(orderHistory[customer],$D$9,0)*MATCH(orderHistory[status],$D$11,0)),MATCH(ROW(orderHistory[customer]),ROW(orderHistory[customer])),""),ROWS($A$15:A38)+$B$3)),INDEX(orderHistory[inv_amount],SMALL(IF(ISNUMBER(MATCH(orderHistory[customer],$D$9,0)*MATCH(orderHistory[status],$D$11,0)*MATCH(orderHistory[order_type],$D$13,0)),MATCH(ROW(orderHistory[customer]),ROW(orderHistory[customer])),""),ROWS($A$15:A38)+$B$3))))),"")</f>
        <v/>
      </c>
      <c r="S33" s="383" t="str">
        <f t="shared" si="0"/>
        <v/>
      </c>
      <c r="T33" s="385" t="str">
        <f t="array" ref="T33">IFERROR(IF($D$9="",IF($D$11="",IF($D$13="",INDEX(orderHistory[payed],SMALL(MATCH(ROW(orderHistory[customer]),ROW(orderHistory[customer])),ROWS($A$15:A38)+$B$3)),INDEX(orderHistory[payed],SMALL(IF(ISNUMBER(MATCH(orderHistory[order_type],$D$13,0)),MATCH(ROW(orderHistory[customer]),ROW(orderHistory[customer])),""),ROWS($A$15:A38)+$B$3))),IF($D$13="",INDEX(orderHistory[payed],SMALL(IF(ISNUMBER(MATCH(orderHistory[status],$D$11,0)),MATCH(ROW(orderHistory[customer]),ROW(orderHistory[customer])),""),ROWS($A$15:A38)+$B$3)),INDEX(orderHistory[payed],SMALL(IF(ISNUMBER(MATCH(orderHistory[status],$D$11,0)*MATCH(orderHistory[order_type],$D$13,0)),MATCH(ROW(orderHistory[customer]),ROW(orderHistory[customer])),""),ROWS($A$15:A38)+$B$3)))),IF($D$11="",IF($D$13="",INDEX(orderHistory[payed],SMALL(IF(ISNUMBER(MATCH(orderHistory[customer],$D$9,0)),MATCH(ROW(orderHistory[customer]),ROW(orderHistory[customer])),""),ROWS($A$15:A38)+$B$3)),INDEX(orderHistory[payed],SMALL(IF(ISNUMBER(MATCH(orderHistory[customer],$D$9,0)*MATCH(orderHistory[order_type],$D$13,0)),MATCH(ROW(orderHistory[customer]),ROW(orderHistory[customer])),""),ROWS($A$15:A38)+$B$3))),IF($D$13="",INDEX(orderHistory[payed],SMALL(IF(ISNUMBER(MATCH(orderHistory[customer],$D$9,0)*MATCH(orderHistory[status],$D$11,0)),MATCH(ROW(orderHistory[customer]),ROW(orderHistory[customer])),""),ROWS($A$15:A38)+$B$3)),INDEX(orderHistory[payed],SMALL(IF(ISNUMBER(MATCH(orderHistory[customer],$D$9,0)*MATCH(orderHistory[status],$D$11,0)*MATCH(orderHistory[order_type],$D$13,0)),MATCH(ROW(orderHistory[customer]),ROW(orderHistory[customer])),""),ROWS($A$15:A38)+$B$3))))),"")</f>
        <v/>
      </c>
      <c r="U33" s="386" t="str">
        <f t="array" ref="U33">IFERROR(IF($D$9="",IF($D$11="",IF($D$13="",INDEX(orderHistory[shipping_method],SMALL(MATCH(ROW(orderHistory[customer]),ROW(orderHistory[customer])),ROWS($A$15:A38)+$B$3)),INDEX(orderHistory[shipping_method],SMALL(IF(ISNUMBER(MATCH(orderHistory[order_type],$D$13,0)),MATCH(ROW(orderHistory[customer]),ROW(orderHistory[customer])),""),ROWS($A$15:A38)+$B$3))),IF($D$13="",INDEX(orderHistory[shipping_method],SMALL(IF(ISNUMBER(MATCH(orderHistory[status],$D$11,0)),MATCH(ROW(orderHistory[customer]),ROW(orderHistory[customer])),""),ROWS($A$15:A38)+$B$3)),INDEX(orderHistory[shipping_method],SMALL(IF(ISNUMBER(MATCH(orderHistory[status],$D$11,0)*MATCH(orderHistory[order_type],$D$13,0)),MATCH(ROW(orderHistory[customer]),ROW(orderHistory[customer])),""),ROWS($A$15:A38)+$B$3)))),IF($D$11="",IF($D$13="",INDEX(orderHistory[shipping_method],SMALL(IF(ISNUMBER(MATCH(orderHistory[customer],$D$9,0)),MATCH(ROW(orderHistory[customer]),ROW(orderHistory[customer])),""),ROWS($A$15:A38)+$B$3)),INDEX(orderHistory[shipping_method],SMALL(IF(ISNUMBER(MATCH(orderHistory[customer],$D$9,0)*MATCH(orderHistory[order_type],$D$13,0)),MATCH(ROW(orderHistory[customer]),ROW(orderHistory[customer])),""),ROWS($A$15:A38)+$B$3))),IF($D$13="",INDEX(orderHistory[shipping_method],SMALL(IF(ISNUMBER(MATCH(orderHistory[customer],$D$9,0)*MATCH(orderHistory[status],$D$11,0)),MATCH(ROW(orderHistory[customer]),ROW(orderHistory[customer])),""),ROWS($A$15:A38)+$B$3)),INDEX(orderHistory[shipping_method],SMALL(IF(ISNUMBER(MATCH(orderHistory[customer],$D$9,0)*MATCH(orderHistory[status],$D$11,0)*MATCH(orderHistory[order_type],$D$13,0)),MATCH(ROW(orderHistory[customer]),ROW(orderHistory[customer])),""),ROWS($A$15:A38)+$B$3))))),"")</f>
        <v/>
      </c>
      <c r="V33" s="387" t="str">
        <f t="array" ref="V33">IFERROR(IF($D$9="",IF($D$11="",IF($D$13="",INDEX(orderHistory[status],SMALL(MATCH(ROW(orderHistory[customer]),ROW(orderHistory[customer])),ROWS($A$15:A38)+$B$3)),INDEX(orderHistory[status],SMALL(IF(ISNUMBER(MATCH(orderHistory[order_type],$D$13,0)),MATCH(ROW(orderHistory[customer]),ROW(orderHistory[customer])),""),ROWS($A$15:A38)+$B$3))),IF($D$13="",INDEX(orderHistory[status],SMALL(IF(ISNUMBER(MATCH(orderHistory[status],$D$11,0)),MATCH(ROW(orderHistory[customer]),ROW(orderHistory[customer])),""),ROWS($A$15:A38)+$B$3)),INDEX(orderHistory[status],SMALL(IF(ISNUMBER(MATCH(orderHistory[status],$D$11,0)*MATCH(orderHistory[order_type],$D$13,0)),MATCH(ROW(orderHistory[customer]),ROW(orderHistory[customer])),""),ROWS($A$15:A38)+$B$3)))),IF($D$11="",IF($D$13="",INDEX(orderHistory[status],SMALL(IF(ISNUMBER(MATCH(orderHistory[customer],$D$9,0)),MATCH(ROW(orderHistory[customer]),ROW(orderHistory[customer])),""),ROWS($A$15:A38)+$B$3)),INDEX(orderHistory[status],SMALL(IF(ISNUMBER(MATCH(orderHistory[customer],$D$9,0)*MATCH(orderHistory[order_type],$D$13,0)),MATCH(ROW(orderHistory[customer]),ROW(orderHistory[customer])),""),ROWS($A$15:A38)+$B$3))),IF($D$13="",INDEX(orderHistory[status],SMALL(IF(ISNUMBER(MATCH(orderHistory[customer],$D$9,0)*MATCH(orderHistory[status],$D$11,0)),MATCH(ROW(orderHistory[customer]),ROW(orderHistory[customer])),""),ROWS($A$15:A38)+$B$3)),INDEX(orderHistory[status],SMALL(IF(ISNUMBER(MATCH(orderHistory[customer],$D$9,0)*MATCH(orderHistory[status],$D$11,0)*MATCH(orderHistory[order_type],$D$13,0)),MATCH(ROW(orderHistory[customer]),ROW(orderHistory[customer])),""),ROWS($A$15:A38)+$B$3))))),"")</f>
        <v/>
      </c>
      <c r="W33" s="111"/>
      <c r="AQ33" s="125" t="s">
        <v>1090</v>
      </c>
      <c r="AR33" s="958" t="s">
        <v>1313</v>
      </c>
      <c r="AS33" s="959"/>
      <c r="AT33" s="960"/>
      <c r="AU33" s="121"/>
      <c r="AW33" s="131"/>
      <c r="AX33" s="120"/>
      <c r="AY33" s="120"/>
      <c r="AZ33" s="120"/>
      <c r="BA33" s="120"/>
      <c r="BB33" s="120"/>
      <c r="BC33" s="120"/>
      <c r="BD33" s="120"/>
      <c r="BE33" s="120"/>
      <c r="BF33" s="120"/>
      <c r="BG33" s="175"/>
      <c r="BH33" s="120"/>
      <c r="BI33" s="291"/>
      <c r="BJ33" s="121"/>
      <c r="BK33" s="146"/>
      <c r="BL33" s="147"/>
      <c r="BM33" s="148"/>
      <c r="BN33" s="147"/>
      <c r="BO33" s="148"/>
      <c r="BX33" s="22"/>
      <c r="BZ33" s="304"/>
      <c r="CA33" s="270" t="str">
        <f>IF(BZ33="","",VLOOKUP(BZ33,bhpc_data[],7,FALSE))</f>
        <v/>
      </c>
      <c r="CB33" s="303"/>
      <c r="CC33" s="643"/>
      <c r="CD33" s="297"/>
      <c r="CE33" s="645"/>
      <c r="CF33" s="298"/>
      <c r="CG33" s="301" t="str">
        <f>IFERROR(ROUNDUP(CB33/VLOOKUP(BZ33,bhpc_data[],9,FALSE),0)+ROUNDUP(CD33/VLOOKUP(BZ33,bhpc_data[],9,FALSE),0),"")</f>
        <v/>
      </c>
      <c r="CH33" s="302" t="str">
        <f>IFERROR(ROUNDUP(CD33/VLOOKUP(BZ33,bhpc_data[],9,FALSE),0),"")</f>
        <v/>
      </c>
      <c r="CI33" s="302" t="str">
        <f>IFERROR(ROUNDUP(CF33/VLOOKUP(BZ33,bhpc_data[],9,FALSE),0),"")</f>
        <v/>
      </c>
      <c r="CJ33" s="302" t="str">
        <f>IFERROR(((CB33+CD33+CF33)/VLOOKUP(BZ33,bhpc_data[],9,FALSE))*VLOOKUP(BZ33,bhpc_data[],17,FALSE),"")</f>
        <v/>
      </c>
      <c r="CK33" s="302" t="str">
        <f>IFERROR(((CB33+CD33+CF33)/VLOOKUP(BZ33,bhpc_data[],9,FALSE))*VLOOKUP(BZ33,bhpc_data[],18,FALSE),"")</f>
        <v/>
      </c>
      <c r="CL33" s="346" t="str">
        <f>IFERROR((CB33+CD33)/VLOOKUP(BZ33,bhpc_data[],9,FALSE)*VLOOKUP(BZ33,bhpc_data[],14,FALSE)*VLOOKUP(BZ33,bhpc_data[],15,FALSE)*VLOOKUP(BZ33,bhpc_data[],16,FALSE)/1000000000,"")</f>
        <v/>
      </c>
      <c r="CM33" s="409" t="str">
        <f>IFERROR(VLOOKUP(BZ33,bhpc_data[],2,FALSE),"")</f>
        <v/>
      </c>
      <c r="CN33" s="409" t="str">
        <f>IFERROR(VLOOKUP(BZ33,bhpc_data[],19,FALSE),"")</f>
        <v/>
      </c>
      <c r="CO33" s="653" t="str">
        <f>IFERROR(VLOOKUP(BZ33,bhpc_data[],6,FALSE),"")</f>
        <v/>
      </c>
      <c r="CP33" s="654" t="str">
        <f>IFERROR(VLOOKUP(BZ33,inventory[],4,FALSE),"")</f>
        <v/>
      </c>
      <c r="CQ33" s="655" t="str">
        <f>IFERROR(IF(BZ33="","",IF($BX$15="SALE",VLOOKUP(BZ33,inventory[],5,FALSE),IF($BX$15="SAMPLING",VLOOKUP(BZ33,inventory[],5,FALSE),""))),"")</f>
        <v/>
      </c>
      <c r="CR33" s="656" t="str">
        <f>IFERROR(IF(BZ33="","",(CB33+CD33+CF33)*CQ33),"")</f>
        <v/>
      </c>
      <c r="CS33" s="557" t="str">
        <f>IF(BZ33="","",CB33*CC33+CD33*CE33)</f>
        <v/>
      </c>
      <c r="CU33" s="602" t="s">
        <v>1246</v>
      </c>
      <c r="CV33" s="596"/>
      <c r="CW33" s="597"/>
      <c r="CX33" s="598"/>
      <c r="CY33" s="599"/>
      <c r="CZ33" s="600"/>
      <c r="DA33" s="540" t="str">
        <f>IFERROR(VLOOKUP(BZ33,bhpc_data[],22,FALSE),"")</f>
        <v/>
      </c>
      <c r="DF33" s="131"/>
      <c r="DG33" s="120"/>
      <c r="DH33" s="162"/>
      <c r="DI33" s="120"/>
      <c r="DJ33" s="120" t="s">
        <v>687</v>
      </c>
      <c r="DK33" s="120"/>
      <c r="DL33" s="120"/>
      <c r="DM33" s="120"/>
      <c r="DN33" s="120"/>
      <c r="DO33" s="120"/>
      <c r="DP33" s="120"/>
      <c r="DQ33" s="120"/>
      <c r="DR33" s="120"/>
      <c r="DS33" s="120"/>
      <c r="DT33" s="120"/>
      <c r="DU33" s="120"/>
      <c r="DV33" s="121"/>
      <c r="EE33" s="453" t="s">
        <v>90</v>
      </c>
      <c r="EF33" s="447" t="str">
        <f>VLOOKUP(EE33,bhpc_data[],7,FALSE)</f>
        <v>BHPC WOMEN 2 EDP 50ML</v>
      </c>
      <c r="EG33" s="555">
        <f>IFERROR(VLOOKUP(EE33,inventory[],4,FALSE),0)</f>
        <v>0</v>
      </c>
      <c r="EH33" s="555">
        <f>IFERROR(VLOOKUP(warehouse[[#This Row],[SKU]],$EQ$10:$ES$38,3,FALSE),0)</f>
        <v>4985</v>
      </c>
      <c r="EI33" s="555">
        <f>IFERROR(VLOOKUP(warehouse[[#This Row],[SKU]],$EM$10:$EO$61,3,FALSE),0)</f>
        <v>0</v>
      </c>
      <c r="EJ33" s="555">
        <f>warehouse[[#This Row],[T-1]]+warehouse[[#This Row],[SUPPLY]]-warehouse[[#This Row],[SALE + SAMPLING]]</f>
        <v>4985</v>
      </c>
      <c r="EM33" s="74" t="s">
        <v>111</v>
      </c>
      <c r="EN33" s="74" t="s">
        <v>112</v>
      </c>
      <c r="EO33" s="431">
        <v>5158</v>
      </c>
      <c r="EQ33" s="74" t="s">
        <v>188</v>
      </c>
      <c r="ER33" s="74" t="s">
        <v>191</v>
      </c>
      <c r="ES33" s="446">
        <v>6720</v>
      </c>
    </row>
    <row r="34" spans="6:149" ht="15" customHeight="1">
      <c r="F34" s="124"/>
      <c r="G34" s="666">
        <f>VLOOKUP($B$4,orderHistory[],6,FALSE)</f>
        <v>125</v>
      </c>
      <c r="H34" s="120"/>
      <c r="I34" s="669">
        <f>VLOOKUP($B$4,orderHistory[],13,FALSE)</f>
        <v>3075</v>
      </c>
      <c r="J34" s="121"/>
      <c r="L34" s="274" t="str">
        <f t="array" ref="L34">IFERROR(IF($D$9="",IF($D$11="",IF($D$13="",INDEX(orderHistory[customer],SMALL(MATCH(ROW(orderHistory[customer]),ROW(orderHistory[customer])),ROWS($A$15:A39)+$B$3)),INDEX(orderHistory[customer],SMALL(IF(ISNUMBER(MATCH(orderHistory[order_type],$D$13,0)),MATCH(ROW(orderHistory[customer]),ROW(orderHistory[customer])),""),ROWS($A$15:A39)+$B$3))),IF($D$13="",INDEX(orderHistory[customer],SMALL(IF(ISNUMBER(MATCH(orderHistory[status],$D$11,0)),MATCH(ROW(orderHistory[customer]),ROW(orderHistory[customer])),""),ROWS($A$15:A39)+$B$3)),INDEX(orderHistory[customer],SMALL(IF(ISNUMBER(MATCH(orderHistory[status],$D$11,0)*MATCH(orderHistory[order_type],$D$13,0)),MATCH(ROW(orderHistory[customer]),ROW(orderHistory[customer])),""),ROWS($A$15:A39)+$B$3)))),IF($D$11="",IF($D$13="",INDEX(orderHistory[customer],SMALL(IF(ISNUMBER(MATCH(orderHistory[customer],$D$9,0)),MATCH(ROW(orderHistory[customer]),ROW(orderHistory[customer])),""),ROWS($A$15:A39)+$B$3)),INDEX(orderHistory[customer],SMALL(IF(ISNUMBER(MATCH(orderHistory[customer],$D$9,0)*MATCH(orderHistory[order_type],$D$13,0)),MATCH(ROW(orderHistory[customer]),ROW(orderHistory[customer])),""),ROWS($A$15:A39)+$B$3))),IF($D$13="",INDEX(orderHistory[customer],SMALL(IF(ISNUMBER(MATCH(orderHistory[customer],$D$9,0)*MATCH(orderHistory[status],$D$11,0)),MATCH(ROW(orderHistory[customer]),ROW(orderHistory[customer])),""),ROWS($A$15:A39)+$B$3)),INDEX(orderHistory[customer],SMALL(IF(ISNUMBER(MATCH(orderHistory[customer],$D$9,0)*MATCH(orderHistory[status],$D$11,0)*MATCH(orderHistory[order_type],$D$13,0)),MATCH(ROW(orderHistory[customer]),ROW(orderHistory[customer])),""),ROWS($A$15:A39)+$B$3))))),"")</f>
        <v/>
      </c>
      <c r="M34" s="391" t="str">
        <f t="array" ref="M34">IFERROR(IF($D$9="",IF($D$11="",IF($D$13="",INDEX(orderHistory[order_no],SMALL(MATCH(ROW(orderHistory[customer]),ROW(orderHistory[customer])),ROWS($A$15:A39)+$B$3)),INDEX(orderHistory[order_no],SMALL(IF(ISNUMBER(MATCH(orderHistory[order_type],$D$13,0)),MATCH(ROW(orderHistory[customer]),ROW(orderHistory[customer])),""),ROWS($A$15:A39)+$B$3))),IF($D$13="",INDEX(orderHistory[order_no],SMALL(IF(ISNUMBER(MATCH(orderHistory[status],$D$11,0)),MATCH(ROW(orderHistory[customer]),ROW(orderHistory[customer])),""),ROWS($A$15:A39)+$B$3)),INDEX(orderHistory[order_no],SMALL(IF(ISNUMBER(MATCH(orderHistory[status],$D$11,0)*MATCH(orderHistory[order_type],$D$13,0)),MATCH(ROW(orderHistory[customer]),ROW(orderHistory[customer])),""),ROWS($A$15:A39)+$B$3)))),IF($D$11="",IF($D$13="",INDEX(orderHistory[order_no],SMALL(IF(ISNUMBER(MATCH(orderHistory[customer],$D$9,0)),MATCH(ROW(orderHistory[customer]),ROW(orderHistory[customer])),""),ROWS($A$15:A39)+$B$3)),INDEX(orderHistory[order_no],SMALL(IF(ISNUMBER(MATCH(orderHistory[customer],$D$9,0)*MATCH(orderHistory[order_type],$D$13,0)),MATCH(ROW(orderHistory[customer]),ROW(orderHistory[customer])),""),ROWS($A$15:A39)+$B$3))),IF($D$13="",INDEX(orderHistory[order_no],SMALL(IF(ISNUMBER(MATCH(orderHistory[customer],$D$9,0)*MATCH(orderHistory[status],$D$11,0)),MATCH(ROW(orderHistory[customer]),ROW(orderHistory[customer])),""),ROWS($A$15:A39)+$B$3)),INDEX(orderHistory[order_no],SMALL(IF(ISNUMBER(MATCH(orderHistory[customer],$D$9,0)*MATCH(orderHistory[status],$D$11,0)*MATCH(orderHistory[order_type],$D$13,0)),MATCH(ROW(orderHistory[customer]),ROW(orderHistory[customer])),""),ROWS($A$15:A39)+$B$3))))),"")</f>
        <v/>
      </c>
      <c r="N34" s="386" t="str">
        <f t="array" ref="N34">IFERROR(IF($D$9="",IF($D$11="",IF($D$13="",INDEX(orderHistory[order_type],SMALL(MATCH(ROW(orderHistory[customer]),ROW(orderHistory[customer])),ROWS($A$15:A39)+$B$3)),INDEX(orderHistory[order_type],SMALL(IF(ISNUMBER(MATCH(orderHistory[order_type],$D$13,0)),MATCH(ROW(orderHistory[customer]),ROW(orderHistory[customer])),""),ROWS($A$15:A39)+$B$3))),IF($D$13="",INDEX(orderHistory[order_type],SMALL(IF(ISNUMBER(MATCH(orderHistory[status],$D$11,0)),MATCH(ROW(orderHistory[customer]),ROW(orderHistory[customer])),""),ROWS($A$15:A39)+$B$3)),INDEX(orderHistory[order_type],SMALL(IF(ISNUMBER(MATCH(orderHistory[status],$D$11,0)*MATCH(orderHistory[order_type],$D$13,0)),MATCH(ROW(orderHistory[customer]),ROW(orderHistory[customer])),""),ROWS($A$15:A39)+$B$3)))),IF($D$11="",IF($D$13="",INDEX(orderHistory[order_type],SMALL(IF(ISNUMBER(MATCH(orderHistory[customer],$D$9,0)),MATCH(ROW(orderHistory[customer]),ROW(orderHistory[customer])),""),ROWS($A$15:A39)+$B$3)),INDEX(orderHistory[order_type],SMALL(IF(ISNUMBER(MATCH(orderHistory[customer],$D$9,0)*MATCH(orderHistory[order_type],$D$13,0)),MATCH(ROW(orderHistory[customer]),ROW(orderHistory[customer])),""),ROWS($A$15:A39)+$B$3))),IF($D$13="",INDEX(orderHistory[order_type],SMALL(IF(ISNUMBER(MATCH(orderHistory[customer],$D$9,0)*MATCH(orderHistory[status],$D$11,0)),MATCH(ROW(orderHistory[customer]),ROW(orderHistory[customer])),""),ROWS($A$15:A39)+$B$3)),INDEX(orderHistory[order_type],SMALL(IF(ISNUMBER(MATCH(orderHistory[customer],$D$9,0)*MATCH(orderHistory[status],$D$11,0)*MATCH(orderHistory[order_type],$D$13,0)),MATCH(ROW(orderHistory[customer]),ROW(orderHistory[customer])),""),ROWS($A$15:A39)+$B$3))))),"")</f>
        <v/>
      </c>
      <c r="O34" s="275" t="str">
        <f t="array" ref="O34">IFERROR(IF($D$9="",IF($D$11="",IF($D$13="",INDEX(orderHistory[order_date],SMALL(MATCH(ROW(orderHistory[customer]),ROW(orderHistory[customer])),ROWS($A$15:A39)+$B$3)),INDEX(orderHistory[order_date],SMALL(IF(ISNUMBER(MATCH(orderHistory[order_type],$D$13,0)),MATCH(ROW(orderHistory[customer]),ROW(orderHistory[customer])),""),ROWS($A$15:A39)+$B$3))),IF($D$13="",INDEX(orderHistory[order_date],SMALL(IF(ISNUMBER(MATCH(orderHistory[status],$D$11,0)),MATCH(ROW(orderHistory[customer]),ROW(orderHistory[customer])),""),ROWS($A$15:A39)+$B$3)),INDEX(orderHistory[order_date],SMALL(IF(ISNUMBER(MATCH(orderHistory[status],$D$11,0)*MATCH(orderHistory[order_type],$D$13,0)),MATCH(ROW(orderHistory[customer]),ROW(orderHistory[customer])),""),ROWS($A$15:A39)+$B$3)))),IF($D$11="",IF($D$13="",INDEX(orderHistory[order_date],SMALL(IF(ISNUMBER(MATCH(orderHistory[customer],$D$9,0)),MATCH(ROW(orderHistory[customer]),ROW(orderHistory[customer])),""),ROWS($A$15:A39)+$B$3)),INDEX(orderHistory[order_date],SMALL(IF(ISNUMBER(MATCH(orderHistory[customer],$D$9,0)*MATCH(orderHistory[order_type],$D$13,0)),MATCH(ROW(orderHistory[customer]),ROW(orderHistory[customer])),""),ROWS($A$15:A39)+$B$3))),IF($D$13="",INDEX(orderHistory[order_date],SMALL(IF(ISNUMBER(MATCH(orderHistory[customer],$D$9,0)*MATCH(orderHistory[status],$D$11,0)),MATCH(ROW(orderHistory[customer]),ROW(orderHistory[customer])),""),ROWS($A$15:A39)+$B$3)),INDEX(orderHistory[order_date],SMALL(IF(ISNUMBER(MATCH(orderHistory[customer],$D$9,0)*MATCH(orderHistory[status],$D$11,0)*MATCH(orderHistory[order_type],$D$13,0)),MATCH(ROW(orderHistory[customer]),ROW(orderHistory[customer])),""),ROWS($A$15:A39)+$B$3))))),"")</f>
        <v/>
      </c>
      <c r="P34" s="379" t="str">
        <f t="array" ref="P34">IF(IFERROR(IF($D$9="",IF($D$11="",IF($D$13="",INDEX(orderHistory[invoice_no],SMALL(MATCH(ROW(orderHistory[customer]),ROW(orderHistory[customer])),ROWS($A$15:A39)+$B$3)),INDEX(orderHistory[invoice_no],SMALL(IF(ISNUMBER(MATCH(orderHistory[order_type],$D$13,0)),MATCH(ROW(orderHistory[customer]),ROW(orderHistory[customer])),""),ROWS($A$15:A39)+$B$3))),IF($D$13="",INDEX(orderHistory[invoice_no],SMALL(IF(ISNUMBER(MATCH(orderHistory[status],$D$11,0)),MATCH(ROW(orderHistory[customer]),ROW(orderHistory[customer])),""),ROWS($A$15:A39)+$B$3)),INDEX(orderHistory[invoice_no],SMALL(IF(ISNUMBER(MATCH(orderHistory[status],$D$11,0)*MATCH(orderHistory[order_type],$D$13,0)),MATCH(ROW(orderHistory[customer]),ROW(orderHistory[customer])),""),ROWS($A$15:A39)+$B$3)))),IF($D$11="",IF($D$13="",INDEX(orderHistory[invoice_no],SMALL(IF(ISNUMBER(MATCH(orderHistory[customer],$D$9,0)),MATCH(ROW(orderHistory[customer]),ROW(orderHistory[customer])),""),ROWS($A$15:A39)+$B$3)),INDEX(orderHistory[invoice_no],SMALL(IF(ISNUMBER(MATCH(orderHistory[customer],$D$9,0)*MATCH(orderHistory[order_type],$D$13,0)),MATCH(ROW(orderHistory[customer]),ROW(orderHistory[customer])),""),ROWS($A$15:A39)+$B$3))),IF($D$13="",INDEX(orderHistory[invoice_no],SMALL(IF(ISNUMBER(MATCH(orderHistory[customer],$D$9,0)*MATCH(orderHistory[status],$D$11,0)),MATCH(ROW(orderHistory[customer]),ROW(orderHistory[customer])),""),ROWS($A$15:A39)+$B$3)),INDEX(orderHistory[invoice_no],SMALL(IF(ISNUMBER(MATCH(orderHistory[customer],$D$9,0)*MATCH(orderHistory[status],$D$11,0)*MATCH(orderHistory[order_type],$D$13,0)),MATCH(ROW(orderHistory[customer]),ROW(orderHistory[customer])),""),ROWS($A$15:A39)+$B$3))))),"")=0,"",IFERROR(IF($D$9="",IF($D$11="",IF($D$13="",INDEX(orderHistory[invoice_no],SMALL(MATCH(ROW(orderHistory[customer]),ROW(orderHistory[customer])),ROWS($A$15:A39)+$B$3)),INDEX(orderHistory[invoice_no],SMALL(IF(ISNUMBER(MATCH(orderHistory[order_type],$D$13,0)),MATCH(ROW(orderHistory[customer]),ROW(orderHistory[customer])),""),ROWS($A$15:A39)+$B$3))),IF($D$13="",INDEX(orderHistory[invoice_no],SMALL(IF(ISNUMBER(MATCH(orderHistory[status],$D$11,0)),MATCH(ROW(orderHistory[customer]),ROW(orderHistory[customer])),""),ROWS($A$15:A39)+$B$3)),INDEX(orderHistory[invoice_no],SMALL(IF(ISNUMBER(MATCH(orderHistory[status],$D$11,0)*MATCH(orderHistory[order_type],$D$13,0)),MATCH(ROW(orderHistory[customer]),ROW(orderHistory[customer])),""),ROWS($A$15:A39)+$B$3)))),IF($D$11="",IF($D$13="",INDEX(orderHistory[invoice_no],SMALL(IF(ISNUMBER(MATCH(orderHistory[customer],$D$9,0)),MATCH(ROW(orderHistory[customer]),ROW(orderHistory[customer])),""),ROWS($A$15:A39)+$B$3)),INDEX(orderHistory[invoice_no],SMALL(IF(ISNUMBER(MATCH(orderHistory[customer],$D$9,0)*MATCH(orderHistory[order_type],$D$13,0)),MATCH(ROW(orderHistory[customer]),ROW(orderHistory[customer])),""),ROWS($A$15:A39)+$B$3))),IF($D$13="",INDEX(orderHistory[invoice_no],SMALL(IF(ISNUMBER(MATCH(orderHistory[customer],$D$9,0)*MATCH(orderHistory[status],$D$11,0)),MATCH(ROW(orderHistory[customer]),ROW(orderHistory[customer])),""),ROWS($A$15:A39)+$B$3)),INDEX(orderHistory[invoice_no],SMALL(IF(ISNUMBER(MATCH(orderHistory[customer],$D$9,0)*MATCH(orderHistory[status],$D$11,0)*MATCH(orderHistory[order_type],$D$13,0)),MATCH(ROW(orderHistory[customer]),ROW(orderHistory[customer])),""),ROWS($A$15:A39)+$B$3))))),""))</f>
        <v/>
      </c>
      <c r="Q34" s="381" t="str">
        <f t="array" ref="Q34">IF(IFERROR(IF($D$9="",IF($D$11="",IF($D$13="",INDEX(orderHistory[invoice_date],SMALL(MATCH(ROW(orderHistory[customer]),ROW(orderHistory[customer])),ROWS($A$15:A39)+$B$3)),INDEX(orderHistory[invoice_date],SMALL(IF(ISNUMBER(MATCH(orderHistory[order_type],$D$13,0)),MATCH(ROW(orderHistory[customer]),ROW(orderHistory[customer])),""),ROWS($A$15:A39)+$B$3))),IF($D$13="",INDEX(orderHistory[invoice_date],SMALL(IF(ISNUMBER(MATCH(orderHistory[status],$D$11,0)),MATCH(ROW(orderHistory[customer]),ROW(orderHistory[customer])),""),ROWS($A$15:A39)+$B$3)),INDEX(orderHistory[invoice_date],SMALL(IF(ISNUMBER(MATCH(orderHistory[status],$D$11,0)*MATCH(orderHistory[order_type],$D$13,0)),MATCH(ROW(orderHistory[customer]),ROW(orderHistory[customer])),""),ROWS($A$15:A39)+$B$3)))),IF($D$11="",IF($D$13="",INDEX(orderHistory[invoice_date],SMALL(IF(ISNUMBER(MATCH(orderHistory[customer],$D$9,0)),MATCH(ROW(orderHistory[customer]),ROW(orderHistory[customer])),""),ROWS($A$15:A39)+$B$3)),INDEX(orderHistory[invoice_date],SMALL(IF(ISNUMBER(MATCH(orderHistory[customer],$D$9,0)*MATCH(orderHistory[order_type],$D$13,0)),MATCH(ROW(orderHistory[customer]),ROW(orderHistory[customer])),""),ROWS($A$15:A39)+$B$3))),IF($D$13="",INDEX(orderHistory[invoice_date],SMALL(IF(ISNUMBER(MATCH(orderHistory[customer],$D$9,0)*MATCH(orderHistory[status],$D$11,0)),MATCH(ROW(orderHistory[customer]),ROW(orderHistory[customer])),""),ROWS($A$15:A39)+$B$3)),INDEX(orderHistory[invoice_date],SMALL(IF(ISNUMBER(MATCH(orderHistory[customer],$D$9,0)*MATCH(orderHistory[status],$D$11,0)*MATCH(orderHistory[order_type],$D$13,0)),MATCH(ROW(orderHistory[customer]),ROW(orderHistory[customer])),""),ROWS($A$15:A39)+$B$3))))),"")=0,"",IFERROR(IF($D$9="",IF($D$11="",IF($D$13="",INDEX(orderHistory[invoice_date],SMALL(MATCH(ROW(orderHistory[customer]),ROW(orderHistory[customer])),ROWS($A$15:A39)+$B$3)),INDEX(orderHistory[invoice_date],SMALL(IF(ISNUMBER(MATCH(orderHistory[order_type],$D$13,0)),MATCH(ROW(orderHistory[customer]),ROW(orderHistory[customer])),""),ROWS($A$15:A39)+$B$3))),IF($D$13="",INDEX(orderHistory[invoice_date],SMALL(IF(ISNUMBER(MATCH(orderHistory[status],$D$11,0)),MATCH(ROW(orderHistory[customer]),ROW(orderHistory[customer])),""),ROWS($A$15:A39)+$B$3)),INDEX(orderHistory[invoice_date],SMALL(IF(ISNUMBER(MATCH(orderHistory[status],$D$11,0)*MATCH(orderHistory[order_type],$D$13,0)),MATCH(ROW(orderHistory[customer]),ROW(orderHistory[customer])),""),ROWS($A$15:A39)+$B$3)))),IF($D$11="",IF($D$13="",INDEX(orderHistory[invoice_date],SMALL(IF(ISNUMBER(MATCH(orderHistory[customer],$D$9,0)),MATCH(ROW(orderHistory[customer]),ROW(orderHistory[customer])),""),ROWS($A$15:A39)+$B$3)),INDEX(orderHistory[invoice_date],SMALL(IF(ISNUMBER(MATCH(orderHistory[customer],$D$9,0)*MATCH(orderHistory[order_type],$D$13,0)),MATCH(ROW(orderHistory[customer]),ROW(orderHistory[customer])),""),ROWS($A$15:A39)+$B$3))),IF($D$13="",INDEX(orderHistory[invoice_date],SMALL(IF(ISNUMBER(MATCH(orderHistory[customer],$D$9,0)*MATCH(orderHistory[status],$D$11,0)),MATCH(ROW(orderHistory[customer]),ROW(orderHistory[customer])),""),ROWS($A$15:A39)+$B$3)),INDEX(orderHistory[invoice_date],SMALL(IF(ISNUMBER(MATCH(orderHistory[customer],$D$9,0)*MATCH(orderHistory[status],$D$11,0)*MATCH(orderHistory[order_type],$D$13,0)),MATCH(ROW(orderHistory[customer]),ROW(orderHistory[customer])),""),ROWS($A$15:A39)+$B$3))))),""))</f>
        <v/>
      </c>
      <c r="R34" s="377" t="str">
        <f t="array" ref="R34">IFERROR(IF($D$9="",IF($D$11="",IF($D$13="",INDEX(orderHistory[inv_amount],SMALL(MATCH(ROW(orderHistory[customer]),ROW(orderHistory[customer])),ROWS($A$15:A39)+$B$3)),INDEX(orderHistory[inv_amount],SMALL(IF(ISNUMBER(MATCH(orderHistory[order_type],$D$13,0)),MATCH(ROW(orderHistory[customer]),ROW(orderHistory[customer])),""),ROWS($A$15:A39)+$B$3))),IF($D$13="",INDEX(orderHistory[inv_amount],SMALL(IF(ISNUMBER(MATCH(orderHistory[status],$D$11,0)),MATCH(ROW(orderHistory[customer]),ROW(orderHistory[customer])),""),ROWS($A$15:A39)+$B$3)),INDEX(orderHistory[inv_amount],SMALL(IF(ISNUMBER(MATCH(orderHistory[status],$D$11,0)*MATCH(orderHistory[order_type],$D$13,0)),MATCH(ROW(orderHistory[customer]),ROW(orderHistory[customer])),""),ROWS($A$15:A39)+$B$3)))),IF($D$11="",IF($D$13="",INDEX(orderHistory[inv_amount],SMALL(IF(ISNUMBER(MATCH(orderHistory[customer],$D$9,0)),MATCH(ROW(orderHistory[customer]),ROW(orderHistory[customer])),""),ROWS($A$15:A39)+$B$3)),INDEX(orderHistory[inv_amount],SMALL(IF(ISNUMBER(MATCH(orderHistory[customer],$D$9,0)*MATCH(orderHistory[order_type],$D$13,0)),MATCH(ROW(orderHistory[customer]),ROW(orderHistory[customer])),""),ROWS($A$15:A39)+$B$3))),IF($D$13="",INDEX(orderHistory[inv_amount],SMALL(IF(ISNUMBER(MATCH(orderHistory[customer],$D$9,0)*MATCH(orderHistory[status],$D$11,0)),MATCH(ROW(orderHistory[customer]),ROW(orderHistory[customer])),""),ROWS($A$15:A39)+$B$3)),INDEX(orderHistory[inv_amount],SMALL(IF(ISNUMBER(MATCH(orderHistory[customer],$D$9,0)*MATCH(orderHistory[status],$D$11,0)*MATCH(orderHistory[order_type],$D$13,0)),MATCH(ROW(orderHistory[customer]),ROW(orderHistory[customer])),""),ROWS($A$15:A39)+$B$3))))),"")</f>
        <v/>
      </c>
      <c r="S34" s="383" t="str">
        <f t="shared" si="0"/>
        <v/>
      </c>
      <c r="T34" s="385" t="str">
        <f t="array" ref="T34">IFERROR(IF($D$9="",IF($D$11="",IF($D$13="",INDEX(orderHistory[payed],SMALL(MATCH(ROW(orderHistory[customer]),ROW(orderHistory[customer])),ROWS($A$15:A39)+$B$3)),INDEX(orderHistory[payed],SMALL(IF(ISNUMBER(MATCH(orderHistory[order_type],$D$13,0)),MATCH(ROW(orderHistory[customer]),ROW(orderHistory[customer])),""),ROWS($A$15:A39)+$B$3))),IF($D$13="",INDEX(orderHistory[payed],SMALL(IF(ISNUMBER(MATCH(orderHistory[status],$D$11,0)),MATCH(ROW(orderHistory[customer]),ROW(orderHistory[customer])),""),ROWS($A$15:A39)+$B$3)),INDEX(orderHistory[payed],SMALL(IF(ISNUMBER(MATCH(orderHistory[status],$D$11,0)*MATCH(orderHistory[order_type],$D$13,0)),MATCH(ROW(orderHistory[customer]),ROW(orderHistory[customer])),""),ROWS($A$15:A39)+$B$3)))),IF($D$11="",IF($D$13="",INDEX(orderHistory[payed],SMALL(IF(ISNUMBER(MATCH(orderHistory[customer],$D$9,0)),MATCH(ROW(orderHistory[customer]),ROW(orderHistory[customer])),""),ROWS($A$15:A39)+$B$3)),INDEX(orderHistory[payed],SMALL(IF(ISNUMBER(MATCH(orderHistory[customer],$D$9,0)*MATCH(orderHistory[order_type],$D$13,0)),MATCH(ROW(orderHistory[customer]),ROW(orderHistory[customer])),""),ROWS($A$15:A39)+$B$3))),IF($D$13="",INDEX(orderHistory[payed],SMALL(IF(ISNUMBER(MATCH(orderHistory[customer],$D$9,0)*MATCH(orderHistory[status],$D$11,0)),MATCH(ROW(orderHistory[customer]),ROW(orderHistory[customer])),""),ROWS($A$15:A39)+$B$3)),INDEX(orderHistory[payed],SMALL(IF(ISNUMBER(MATCH(orderHistory[customer],$D$9,0)*MATCH(orderHistory[status],$D$11,0)*MATCH(orderHistory[order_type],$D$13,0)),MATCH(ROW(orderHistory[customer]),ROW(orderHistory[customer])),""),ROWS($A$15:A39)+$B$3))))),"")</f>
        <v/>
      </c>
      <c r="U34" s="386" t="str">
        <f t="array" ref="U34">IFERROR(IF($D$9="",IF($D$11="",IF($D$13="",INDEX(orderHistory[shipping_method],SMALL(MATCH(ROW(orderHistory[customer]),ROW(orderHistory[customer])),ROWS($A$15:A39)+$B$3)),INDEX(orderHistory[shipping_method],SMALL(IF(ISNUMBER(MATCH(orderHistory[order_type],$D$13,0)),MATCH(ROW(orderHistory[customer]),ROW(orderHistory[customer])),""),ROWS($A$15:A39)+$B$3))),IF($D$13="",INDEX(orderHistory[shipping_method],SMALL(IF(ISNUMBER(MATCH(orderHistory[status],$D$11,0)),MATCH(ROW(orderHistory[customer]),ROW(orderHistory[customer])),""),ROWS($A$15:A39)+$B$3)),INDEX(orderHistory[shipping_method],SMALL(IF(ISNUMBER(MATCH(orderHistory[status],$D$11,0)*MATCH(orderHistory[order_type],$D$13,0)),MATCH(ROW(orderHistory[customer]),ROW(orderHistory[customer])),""),ROWS($A$15:A39)+$B$3)))),IF($D$11="",IF($D$13="",INDEX(orderHistory[shipping_method],SMALL(IF(ISNUMBER(MATCH(orderHistory[customer],$D$9,0)),MATCH(ROW(orderHistory[customer]),ROW(orderHistory[customer])),""),ROWS($A$15:A39)+$B$3)),INDEX(orderHistory[shipping_method],SMALL(IF(ISNUMBER(MATCH(orderHistory[customer],$D$9,0)*MATCH(orderHistory[order_type],$D$13,0)),MATCH(ROW(orderHistory[customer]),ROW(orderHistory[customer])),""),ROWS($A$15:A39)+$B$3))),IF($D$13="",INDEX(orderHistory[shipping_method],SMALL(IF(ISNUMBER(MATCH(orderHistory[customer],$D$9,0)*MATCH(orderHistory[status],$D$11,0)),MATCH(ROW(orderHistory[customer]),ROW(orderHistory[customer])),""),ROWS($A$15:A39)+$B$3)),INDEX(orderHistory[shipping_method],SMALL(IF(ISNUMBER(MATCH(orderHistory[customer],$D$9,0)*MATCH(orderHistory[status],$D$11,0)*MATCH(orderHistory[order_type],$D$13,0)),MATCH(ROW(orderHistory[customer]),ROW(orderHistory[customer])),""),ROWS($A$15:A39)+$B$3))))),"")</f>
        <v/>
      </c>
      <c r="V34" s="387" t="str">
        <f t="array" ref="V34">IFERROR(IF($D$9="",IF($D$11="",IF($D$13="",INDEX(orderHistory[status],SMALL(MATCH(ROW(orderHistory[customer]),ROW(orderHistory[customer])),ROWS($A$15:A39)+$B$3)),INDEX(orderHistory[status],SMALL(IF(ISNUMBER(MATCH(orderHistory[order_type],$D$13,0)),MATCH(ROW(orderHistory[customer]),ROW(orderHistory[customer])),""),ROWS($A$15:A39)+$B$3))),IF($D$13="",INDEX(orderHistory[status],SMALL(IF(ISNUMBER(MATCH(orderHistory[status],$D$11,0)),MATCH(ROW(orderHistory[customer]),ROW(orderHistory[customer])),""),ROWS($A$15:A39)+$B$3)),INDEX(orderHistory[status],SMALL(IF(ISNUMBER(MATCH(orderHistory[status],$D$11,0)*MATCH(orderHistory[order_type],$D$13,0)),MATCH(ROW(orderHistory[customer]),ROW(orderHistory[customer])),""),ROWS($A$15:A39)+$B$3)))),IF($D$11="",IF($D$13="",INDEX(orderHistory[status],SMALL(IF(ISNUMBER(MATCH(orderHistory[customer],$D$9,0)),MATCH(ROW(orderHistory[customer]),ROW(orderHistory[customer])),""),ROWS($A$15:A39)+$B$3)),INDEX(orderHistory[status],SMALL(IF(ISNUMBER(MATCH(orderHistory[customer],$D$9,0)*MATCH(orderHistory[order_type],$D$13,0)),MATCH(ROW(orderHistory[customer]),ROW(orderHistory[customer])),""),ROWS($A$15:A39)+$B$3))),IF($D$13="",INDEX(orderHistory[status],SMALL(IF(ISNUMBER(MATCH(orderHistory[customer],$D$9,0)*MATCH(orderHistory[status],$D$11,0)),MATCH(ROW(orderHistory[customer]),ROW(orderHistory[customer])),""),ROWS($A$15:A39)+$B$3)),INDEX(orderHistory[status],SMALL(IF(ISNUMBER(MATCH(orderHistory[customer],$D$9,0)*MATCH(orderHistory[status],$D$11,0)*MATCH(orderHistory[order_type],$D$13,0)),MATCH(ROW(orderHistory[customer]),ROW(orderHistory[customer])),""),ROWS($A$15:A39)+$B$3))))),"")</f>
        <v/>
      </c>
      <c r="W34" s="111"/>
      <c r="AQ34" s="125"/>
      <c r="AR34" s="961"/>
      <c r="AS34" s="962"/>
      <c r="AT34" s="963"/>
      <c r="AU34" s="121"/>
      <c r="AW34" s="131"/>
      <c r="AX34" s="120"/>
      <c r="AY34" s="120"/>
      <c r="AZ34" s="120"/>
      <c r="BA34" s="120"/>
      <c r="BB34" s="120"/>
      <c r="BC34" s="120"/>
      <c r="BD34" s="120"/>
      <c r="BE34" s="120"/>
      <c r="BF34" s="120"/>
      <c r="BG34" s="175"/>
      <c r="BH34" s="120"/>
      <c r="BI34" s="291"/>
      <c r="BJ34" s="121"/>
      <c r="BK34" s="146"/>
      <c r="BL34" s="147"/>
      <c r="BM34" s="148"/>
      <c r="BN34" s="147"/>
      <c r="BO34" s="148"/>
      <c r="BX34" s="22"/>
      <c r="BZ34" s="304"/>
      <c r="CA34" s="270" t="str">
        <f>IF(BZ34="","",VLOOKUP(BZ34,bhpc_data[],7,FALSE))</f>
        <v/>
      </c>
      <c r="CB34" s="303"/>
      <c r="CC34" s="643"/>
      <c r="CD34" s="297"/>
      <c r="CE34" s="645"/>
      <c r="CF34" s="298"/>
      <c r="CG34" s="301" t="str">
        <f>IFERROR(ROUNDUP(CB34/VLOOKUP(BZ34,bhpc_data[],9,FALSE),0)+ROUNDUP(CD34/VLOOKUP(BZ34,bhpc_data[],9,FALSE),0),"")</f>
        <v/>
      </c>
      <c r="CH34" s="302" t="str">
        <f>IFERROR(ROUNDUP(CD34/VLOOKUP(BZ34,bhpc_data[],9,FALSE),0),"")</f>
        <v/>
      </c>
      <c r="CI34" s="302" t="str">
        <f>IFERROR(ROUNDUP(CF34/VLOOKUP(BZ34,bhpc_data[],9,FALSE),0),"")</f>
        <v/>
      </c>
      <c r="CJ34" s="302" t="str">
        <f>IFERROR(((CB34+CD34+CF34)/VLOOKUP(BZ34,bhpc_data[],9,FALSE))*VLOOKUP(BZ34,bhpc_data[],17,FALSE),"")</f>
        <v/>
      </c>
      <c r="CK34" s="302" t="str">
        <f>IFERROR(((CB34+CD34+CF34)/VLOOKUP(BZ34,bhpc_data[],9,FALSE))*VLOOKUP(BZ34,bhpc_data[],18,FALSE),"")</f>
        <v/>
      </c>
      <c r="CL34" s="346" t="str">
        <f>IFERROR((CB34+CD34)/VLOOKUP(BZ34,bhpc_data[],9,FALSE)*VLOOKUP(BZ34,bhpc_data[],14,FALSE)*VLOOKUP(BZ34,bhpc_data[],15,FALSE)*VLOOKUP(BZ34,bhpc_data[],16,FALSE)/1000000000,"")</f>
        <v/>
      </c>
      <c r="CM34" s="409" t="str">
        <f>IFERROR(VLOOKUP(BZ34,bhpc_data[],2,FALSE),"")</f>
        <v/>
      </c>
      <c r="CN34" s="409" t="str">
        <f>IFERROR(VLOOKUP(BZ34,bhpc_data[],19,FALSE),"")</f>
        <v/>
      </c>
      <c r="CO34" s="653" t="str">
        <f>IFERROR(VLOOKUP(BZ34,bhpc_data[],6,FALSE),"")</f>
        <v/>
      </c>
      <c r="CP34" s="654" t="str">
        <f>IFERROR(VLOOKUP(BZ34,inventory[],4,FALSE),"")</f>
        <v/>
      </c>
      <c r="CQ34" s="655" t="str">
        <f>IFERROR(IF(BZ34="","",IF($BX$15="SALE",VLOOKUP(BZ34,inventory[],5,FALSE),IF($BX$15="SAMPLING",VLOOKUP(BZ34,inventory[],5,FALSE),""))),"")</f>
        <v/>
      </c>
      <c r="CR34" s="656" t="str">
        <f>IFERROR(IF(BZ34="","",(CB34+CD34+CF34)*CQ34),"")</f>
        <v/>
      </c>
      <c r="CS34" s="557" t="str">
        <f>IF(BZ34="","",CB34*CC34+CD34*CE34)</f>
        <v/>
      </c>
      <c r="CU34" s="130"/>
      <c r="CV34" s="118"/>
      <c r="CW34" s="118"/>
      <c r="CX34" s="601"/>
      <c r="CY34" s="601"/>
      <c r="CZ34" s="119"/>
      <c r="DA34" s="540" t="str">
        <f>IFERROR(VLOOKUP(BZ34,bhpc_data[],22,FALSE),"")</f>
        <v/>
      </c>
      <c r="DF34" s="131"/>
      <c r="DG34" s="120"/>
      <c r="DH34" s="162"/>
      <c r="DI34" s="120"/>
      <c r="DJ34" s="289"/>
      <c r="DK34" s="288"/>
      <c r="DL34" s="288"/>
      <c r="DM34" s="288"/>
      <c r="DN34" s="288"/>
      <c r="DO34" s="288"/>
      <c r="DP34" s="288"/>
      <c r="DQ34" s="288"/>
      <c r="DR34" s="288"/>
      <c r="DS34" s="288"/>
      <c r="DT34" s="288"/>
      <c r="DU34" s="290"/>
      <c r="DV34" s="121"/>
      <c r="EE34" s="453" t="s">
        <v>92</v>
      </c>
      <c r="EF34" s="447" t="str">
        <f>VLOOKUP(EE34,bhpc_data[],7,FALSE)</f>
        <v>BHPC GIFT SET SPORT MEN 1 EDT 100ML + DEO 175ML</v>
      </c>
      <c r="EG34" s="555">
        <f>IFERROR(VLOOKUP(EE34,inventory[],4,FALSE),0)</f>
        <v>100</v>
      </c>
      <c r="EH34" s="555">
        <f>IFERROR(VLOOKUP(warehouse[[#This Row],[SKU]],$EQ$10:$ES$38,3,FALSE),0)</f>
        <v>0</v>
      </c>
      <c r="EI34" s="555">
        <f>IFERROR(VLOOKUP(warehouse[[#This Row],[SKU]],$EM$10:$EO$61,3,FALSE),0)</f>
        <v>106</v>
      </c>
      <c r="EJ34" s="555">
        <f>warehouse[[#This Row],[T-1]]+warehouse[[#This Row],[SUPPLY]]-warehouse[[#This Row],[SALE + SAMPLING]]</f>
        <v>-6</v>
      </c>
      <c r="EM34" s="74" t="s">
        <v>113</v>
      </c>
      <c r="EN34" s="74" t="s">
        <v>114</v>
      </c>
      <c r="EO34" s="431">
        <v>4274</v>
      </c>
      <c r="EQ34" s="74" t="s">
        <v>193</v>
      </c>
      <c r="ER34" s="74" t="s">
        <v>194</v>
      </c>
      <c r="ES34" s="446">
        <v>6720</v>
      </c>
    </row>
    <row r="35" spans="6:149" ht="15" customHeight="1" thickBot="1">
      <c r="F35" s="124"/>
      <c r="G35" s="162" t="s">
        <v>1183</v>
      </c>
      <c r="H35" s="120"/>
      <c r="I35" s="120" t="s">
        <v>1184</v>
      </c>
      <c r="J35" s="121"/>
      <c r="L35" s="274" t="str">
        <f t="array" ref="L35">IFERROR(IF($D$9="",IF($D$11="",IF($D$13="",INDEX(orderHistory[customer],SMALL(MATCH(ROW(orderHistory[customer]),ROW(orderHistory[customer])),ROWS($A$15:A40)+$B$3)),INDEX(orderHistory[customer],SMALL(IF(ISNUMBER(MATCH(orderHistory[order_type],$D$13,0)),MATCH(ROW(orderHistory[customer]),ROW(orderHistory[customer])),""),ROWS($A$15:A40)+$B$3))),IF($D$13="",INDEX(orderHistory[customer],SMALL(IF(ISNUMBER(MATCH(orderHistory[status],$D$11,0)),MATCH(ROW(orderHistory[customer]),ROW(orderHistory[customer])),""),ROWS($A$15:A40)+$B$3)),INDEX(orderHistory[customer],SMALL(IF(ISNUMBER(MATCH(orderHistory[status],$D$11,0)*MATCH(orderHistory[order_type],$D$13,0)),MATCH(ROW(orderHistory[customer]),ROW(orderHistory[customer])),""),ROWS($A$15:A40)+$B$3)))),IF($D$11="",IF($D$13="",INDEX(orderHistory[customer],SMALL(IF(ISNUMBER(MATCH(orderHistory[customer],$D$9,0)),MATCH(ROW(orderHistory[customer]),ROW(orderHistory[customer])),""),ROWS($A$15:A40)+$B$3)),INDEX(orderHistory[customer],SMALL(IF(ISNUMBER(MATCH(orderHistory[customer],$D$9,0)*MATCH(orderHistory[order_type],$D$13,0)),MATCH(ROW(orderHistory[customer]),ROW(orderHistory[customer])),""),ROWS($A$15:A40)+$B$3))),IF($D$13="",INDEX(orderHistory[customer],SMALL(IF(ISNUMBER(MATCH(orderHistory[customer],$D$9,0)*MATCH(orderHistory[status],$D$11,0)),MATCH(ROW(orderHistory[customer]),ROW(orderHistory[customer])),""),ROWS($A$15:A40)+$B$3)),INDEX(orderHistory[customer],SMALL(IF(ISNUMBER(MATCH(orderHistory[customer],$D$9,0)*MATCH(orderHistory[status],$D$11,0)*MATCH(orderHistory[order_type],$D$13,0)),MATCH(ROW(orderHistory[customer]),ROW(orderHistory[customer])),""),ROWS($A$15:A40)+$B$3))))),"")</f>
        <v/>
      </c>
      <c r="M35" s="391" t="str">
        <f t="array" ref="M35">IFERROR(IF($D$9="",IF($D$11="",IF($D$13="",INDEX(orderHistory[order_no],SMALL(MATCH(ROW(orderHistory[customer]),ROW(orderHistory[customer])),ROWS($A$15:A40)+$B$3)),INDEX(orderHistory[order_no],SMALL(IF(ISNUMBER(MATCH(orderHistory[order_type],$D$13,0)),MATCH(ROW(orderHistory[customer]),ROW(orderHistory[customer])),""),ROWS($A$15:A40)+$B$3))),IF($D$13="",INDEX(orderHistory[order_no],SMALL(IF(ISNUMBER(MATCH(orderHistory[status],$D$11,0)),MATCH(ROW(orderHistory[customer]),ROW(orderHistory[customer])),""),ROWS($A$15:A40)+$B$3)),INDEX(orderHistory[order_no],SMALL(IF(ISNUMBER(MATCH(orderHistory[status],$D$11,0)*MATCH(orderHistory[order_type],$D$13,0)),MATCH(ROW(orderHistory[customer]),ROW(orderHistory[customer])),""),ROWS($A$15:A40)+$B$3)))),IF($D$11="",IF($D$13="",INDEX(orderHistory[order_no],SMALL(IF(ISNUMBER(MATCH(orderHistory[customer],$D$9,0)),MATCH(ROW(orderHistory[customer]),ROW(orderHistory[customer])),""),ROWS($A$15:A40)+$B$3)),INDEX(orderHistory[order_no],SMALL(IF(ISNUMBER(MATCH(orderHistory[customer],$D$9,0)*MATCH(orderHistory[order_type],$D$13,0)),MATCH(ROW(orderHistory[customer]),ROW(orderHistory[customer])),""),ROWS($A$15:A40)+$B$3))),IF($D$13="",INDEX(orderHistory[order_no],SMALL(IF(ISNUMBER(MATCH(orderHistory[customer],$D$9,0)*MATCH(orderHistory[status],$D$11,0)),MATCH(ROW(orderHistory[customer]),ROW(orderHistory[customer])),""),ROWS($A$15:A40)+$B$3)),INDEX(orderHistory[order_no],SMALL(IF(ISNUMBER(MATCH(orderHistory[customer],$D$9,0)*MATCH(orderHistory[status],$D$11,0)*MATCH(orderHistory[order_type],$D$13,0)),MATCH(ROW(orderHistory[customer]),ROW(orderHistory[customer])),""),ROWS($A$15:A40)+$B$3))))),"")</f>
        <v/>
      </c>
      <c r="N35" s="386" t="str">
        <f t="array" ref="N35">IFERROR(IF($D$9="",IF($D$11="",IF($D$13="",INDEX(orderHistory[order_type],SMALL(MATCH(ROW(orderHistory[customer]),ROW(orderHistory[customer])),ROWS($A$15:A40)+$B$3)),INDEX(orderHistory[order_type],SMALL(IF(ISNUMBER(MATCH(orderHistory[order_type],$D$13,0)),MATCH(ROW(orderHistory[customer]),ROW(orderHistory[customer])),""),ROWS($A$15:A40)+$B$3))),IF($D$13="",INDEX(orderHistory[order_type],SMALL(IF(ISNUMBER(MATCH(orderHistory[status],$D$11,0)),MATCH(ROW(orderHistory[customer]),ROW(orderHistory[customer])),""),ROWS($A$15:A40)+$B$3)),INDEX(orderHistory[order_type],SMALL(IF(ISNUMBER(MATCH(orderHistory[status],$D$11,0)*MATCH(orderHistory[order_type],$D$13,0)),MATCH(ROW(orderHistory[customer]),ROW(orderHistory[customer])),""),ROWS($A$15:A40)+$B$3)))),IF($D$11="",IF($D$13="",INDEX(orderHistory[order_type],SMALL(IF(ISNUMBER(MATCH(orderHistory[customer],$D$9,0)),MATCH(ROW(orderHistory[customer]),ROW(orderHistory[customer])),""),ROWS($A$15:A40)+$B$3)),INDEX(orderHistory[order_type],SMALL(IF(ISNUMBER(MATCH(orderHistory[customer],$D$9,0)*MATCH(orderHistory[order_type],$D$13,0)),MATCH(ROW(orderHistory[customer]),ROW(orderHistory[customer])),""),ROWS($A$15:A40)+$B$3))),IF($D$13="",INDEX(orderHistory[order_type],SMALL(IF(ISNUMBER(MATCH(orderHistory[customer],$D$9,0)*MATCH(orderHistory[status],$D$11,0)),MATCH(ROW(orderHistory[customer]),ROW(orderHistory[customer])),""),ROWS($A$15:A40)+$B$3)),INDEX(orderHistory[order_type],SMALL(IF(ISNUMBER(MATCH(orderHistory[customer],$D$9,0)*MATCH(orderHistory[status],$D$11,0)*MATCH(orderHistory[order_type],$D$13,0)),MATCH(ROW(orderHistory[customer]),ROW(orderHistory[customer])),""),ROWS($A$15:A40)+$B$3))))),"")</f>
        <v/>
      </c>
      <c r="O35" s="275" t="str">
        <f t="array" ref="O35">IFERROR(IF($D$9="",IF($D$11="",IF($D$13="",INDEX(orderHistory[order_date],SMALL(MATCH(ROW(orderHistory[customer]),ROW(orderHistory[customer])),ROWS($A$15:A40)+$B$3)),INDEX(orderHistory[order_date],SMALL(IF(ISNUMBER(MATCH(orderHistory[order_type],$D$13,0)),MATCH(ROW(orderHistory[customer]),ROW(orderHistory[customer])),""),ROWS($A$15:A40)+$B$3))),IF($D$13="",INDEX(orderHistory[order_date],SMALL(IF(ISNUMBER(MATCH(orderHistory[status],$D$11,0)),MATCH(ROW(orderHistory[customer]),ROW(orderHistory[customer])),""),ROWS($A$15:A40)+$B$3)),INDEX(orderHistory[order_date],SMALL(IF(ISNUMBER(MATCH(orderHistory[status],$D$11,0)*MATCH(orderHistory[order_type],$D$13,0)),MATCH(ROW(orderHistory[customer]),ROW(orderHistory[customer])),""),ROWS($A$15:A40)+$B$3)))),IF($D$11="",IF($D$13="",INDEX(orderHistory[order_date],SMALL(IF(ISNUMBER(MATCH(orderHistory[customer],$D$9,0)),MATCH(ROW(orderHistory[customer]),ROW(orderHistory[customer])),""),ROWS($A$15:A40)+$B$3)),INDEX(orderHistory[order_date],SMALL(IF(ISNUMBER(MATCH(orderHistory[customer],$D$9,0)*MATCH(orderHistory[order_type],$D$13,0)),MATCH(ROW(orderHistory[customer]),ROW(orderHistory[customer])),""),ROWS($A$15:A40)+$B$3))),IF($D$13="",INDEX(orderHistory[order_date],SMALL(IF(ISNUMBER(MATCH(orderHistory[customer],$D$9,0)*MATCH(orderHistory[status],$D$11,0)),MATCH(ROW(orderHistory[customer]),ROW(orderHistory[customer])),""),ROWS($A$15:A40)+$B$3)),INDEX(orderHistory[order_date],SMALL(IF(ISNUMBER(MATCH(orderHistory[customer],$D$9,0)*MATCH(orderHistory[status],$D$11,0)*MATCH(orderHistory[order_type],$D$13,0)),MATCH(ROW(orderHistory[customer]),ROW(orderHistory[customer])),""),ROWS($A$15:A40)+$B$3))))),"")</f>
        <v/>
      </c>
      <c r="P35" s="379" t="str">
        <f t="array" ref="P35">IF(IFERROR(IF($D$9="",IF($D$11="",IF($D$13="",INDEX(orderHistory[invoice_no],SMALL(MATCH(ROW(orderHistory[customer]),ROW(orderHistory[customer])),ROWS($A$15:A40)+$B$3)),INDEX(orderHistory[invoice_no],SMALL(IF(ISNUMBER(MATCH(orderHistory[order_type],$D$13,0)),MATCH(ROW(orderHistory[customer]),ROW(orderHistory[customer])),""),ROWS($A$15:A40)+$B$3))),IF($D$13="",INDEX(orderHistory[invoice_no],SMALL(IF(ISNUMBER(MATCH(orderHistory[status],$D$11,0)),MATCH(ROW(orderHistory[customer]),ROW(orderHistory[customer])),""),ROWS($A$15:A40)+$B$3)),INDEX(orderHistory[invoice_no],SMALL(IF(ISNUMBER(MATCH(orderHistory[status],$D$11,0)*MATCH(orderHistory[order_type],$D$13,0)),MATCH(ROW(orderHistory[customer]),ROW(orderHistory[customer])),""),ROWS($A$15:A40)+$B$3)))),IF($D$11="",IF($D$13="",INDEX(orderHistory[invoice_no],SMALL(IF(ISNUMBER(MATCH(orderHistory[customer],$D$9,0)),MATCH(ROW(orderHistory[customer]),ROW(orderHistory[customer])),""),ROWS($A$15:A40)+$B$3)),INDEX(orderHistory[invoice_no],SMALL(IF(ISNUMBER(MATCH(orderHistory[customer],$D$9,0)*MATCH(orderHistory[order_type],$D$13,0)),MATCH(ROW(orderHistory[customer]),ROW(orderHistory[customer])),""),ROWS($A$15:A40)+$B$3))),IF($D$13="",INDEX(orderHistory[invoice_no],SMALL(IF(ISNUMBER(MATCH(orderHistory[customer],$D$9,0)*MATCH(orderHistory[status],$D$11,0)),MATCH(ROW(orderHistory[customer]),ROW(orderHistory[customer])),""),ROWS($A$15:A40)+$B$3)),INDEX(orderHistory[invoice_no],SMALL(IF(ISNUMBER(MATCH(orderHistory[customer],$D$9,0)*MATCH(orderHistory[status],$D$11,0)*MATCH(orderHistory[order_type],$D$13,0)),MATCH(ROW(orderHistory[customer]),ROW(orderHistory[customer])),""),ROWS($A$15:A40)+$B$3))))),"")=0,"",IFERROR(IF($D$9="",IF($D$11="",IF($D$13="",INDEX(orderHistory[invoice_no],SMALL(MATCH(ROW(orderHistory[customer]),ROW(orderHistory[customer])),ROWS($A$15:A40)+$B$3)),INDEX(orderHistory[invoice_no],SMALL(IF(ISNUMBER(MATCH(orderHistory[order_type],$D$13,0)),MATCH(ROW(orderHistory[customer]),ROW(orderHistory[customer])),""),ROWS($A$15:A40)+$B$3))),IF($D$13="",INDEX(orderHistory[invoice_no],SMALL(IF(ISNUMBER(MATCH(orderHistory[status],$D$11,0)),MATCH(ROW(orderHistory[customer]),ROW(orderHistory[customer])),""),ROWS($A$15:A40)+$B$3)),INDEX(orderHistory[invoice_no],SMALL(IF(ISNUMBER(MATCH(orderHistory[status],$D$11,0)*MATCH(orderHistory[order_type],$D$13,0)),MATCH(ROW(orderHistory[customer]),ROW(orderHistory[customer])),""),ROWS($A$15:A40)+$B$3)))),IF($D$11="",IF($D$13="",INDEX(orderHistory[invoice_no],SMALL(IF(ISNUMBER(MATCH(orderHistory[customer],$D$9,0)),MATCH(ROW(orderHistory[customer]),ROW(orderHistory[customer])),""),ROWS($A$15:A40)+$B$3)),INDEX(orderHistory[invoice_no],SMALL(IF(ISNUMBER(MATCH(orderHistory[customer],$D$9,0)*MATCH(orderHistory[order_type],$D$13,0)),MATCH(ROW(orderHistory[customer]),ROW(orderHistory[customer])),""),ROWS($A$15:A40)+$B$3))),IF($D$13="",INDEX(orderHistory[invoice_no],SMALL(IF(ISNUMBER(MATCH(orderHistory[customer],$D$9,0)*MATCH(orderHistory[status],$D$11,0)),MATCH(ROW(orderHistory[customer]),ROW(orderHistory[customer])),""),ROWS($A$15:A40)+$B$3)),INDEX(orderHistory[invoice_no],SMALL(IF(ISNUMBER(MATCH(orderHistory[customer],$D$9,0)*MATCH(orderHistory[status],$D$11,0)*MATCH(orderHistory[order_type],$D$13,0)),MATCH(ROW(orderHistory[customer]),ROW(orderHistory[customer])),""),ROWS($A$15:A40)+$B$3))))),""))</f>
        <v/>
      </c>
      <c r="Q35" s="381" t="str">
        <f t="array" ref="Q35">IF(IFERROR(IF($D$9="",IF($D$11="",IF($D$13="",INDEX(orderHistory[invoice_date],SMALL(MATCH(ROW(orderHistory[customer]),ROW(orderHistory[customer])),ROWS($A$15:A40)+$B$3)),INDEX(orderHistory[invoice_date],SMALL(IF(ISNUMBER(MATCH(orderHistory[order_type],$D$13,0)),MATCH(ROW(orderHistory[customer]),ROW(orderHistory[customer])),""),ROWS($A$15:A40)+$B$3))),IF($D$13="",INDEX(orderHistory[invoice_date],SMALL(IF(ISNUMBER(MATCH(orderHistory[status],$D$11,0)),MATCH(ROW(orderHistory[customer]),ROW(orderHistory[customer])),""),ROWS($A$15:A40)+$B$3)),INDEX(orderHistory[invoice_date],SMALL(IF(ISNUMBER(MATCH(orderHistory[status],$D$11,0)*MATCH(orderHistory[order_type],$D$13,0)),MATCH(ROW(orderHistory[customer]),ROW(orderHistory[customer])),""),ROWS($A$15:A40)+$B$3)))),IF($D$11="",IF($D$13="",INDEX(orderHistory[invoice_date],SMALL(IF(ISNUMBER(MATCH(orderHistory[customer],$D$9,0)),MATCH(ROW(orderHistory[customer]),ROW(orderHistory[customer])),""),ROWS($A$15:A40)+$B$3)),INDEX(orderHistory[invoice_date],SMALL(IF(ISNUMBER(MATCH(orderHistory[customer],$D$9,0)*MATCH(orderHistory[order_type],$D$13,0)),MATCH(ROW(orderHistory[customer]),ROW(orderHistory[customer])),""),ROWS($A$15:A40)+$B$3))),IF($D$13="",INDEX(orderHistory[invoice_date],SMALL(IF(ISNUMBER(MATCH(orderHistory[customer],$D$9,0)*MATCH(orderHistory[status],$D$11,0)),MATCH(ROW(orderHistory[customer]),ROW(orderHistory[customer])),""),ROWS($A$15:A40)+$B$3)),INDEX(orderHistory[invoice_date],SMALL(IF(ISNUMBER(MATCH(orderHistory[customer],$D$9,0)*MATCH(orderHistory[status],$D$11,0)*MATCH(orderHistory[order_type],$D$13,0)),MATCH(ROW(orderHistory[customer]),ROW(orderHistory[customer])),""),ROWS($A$15:A40)+$B$3))))),"")=0,"",IFERROR(IF($D$9="",IF($D$11="",IF($D$13="",INDEX(orderHistory[invoice_date],SMALL(MATCH(ROW(orderHistory[customer]),ROW(orderHistory[customer])),ROWS($A$15:A40)+$B$3)),INDEX(orderHistory[invoice_date],SMALL(IF(ISNUMBER(MATCH(orderHistory[order_type],$D$13,0)),MATCH(ROW(orderHistory[customer]),ROW(orderHistory[customer])),""),ROWS($A$15:A40)+$B$3))),IF($D$13="",INDEX(orderHistory[invoice_date],SMALL(IF(ISNUMBER(MATCH(orderHistory[status],$D$11,0)),MATCH(ROW(orderHistory[customer]),ROW(orderHistory[customer])),""),ROWS($A$15:A40)+$B$3)),INDEX(orderHistory[invoice_date],SMALL(IF(ISNUMBER(MATCH(orderHistory[status],$D$11,0)*MATCH(orderHistory[order_type],$D$13,0)),MATCH(ROW(orderHistory[customer]),ROW(orderHistory[customer])),""),ROWS($A$15:A40)+$B$3)))),IF($D$11="",IF($D$13="",INDEX(orderHistory[invoice_date],SMALL(IF(ISNUMBER(MATCH(orderHistory[customer],$D$9,0)),MATCH(ROW(orderHistory[customer]),ROW(orderHistory[customer])),""),ROWS($A$15:A40)+$B$3)),INDEX(orderHistory[invoice_date],SMALL(IF(ISNUMBER(MATCH(orderHistory[customer],$D$9,0)*MATCH(orderHistory[order_type],$D$13,0)),MATCH(ROW(orderHistory[customer]),ROW(orderHistory[customer])),""),ROWS($A$15:A40)+$B$3))),IF($D$13="",INDEX(orderHistory[invoice_date],SMALL(IF(ISNUMBER(MATCH(orderHistory[customer],$D$9,0)*MATCH(orderHistory[status],$D$11,0)),MATCH(ROW(orderHistory[customer]),ROW(orderHistory[customer])),""),ROWS($A$15:A40)+$B$3)),INDEX(orderHistory[invoice_date],SMALL(IF(ISNUMBER(MATCH(orderHistory[customer],$D$9,0)*MATCH(orderHistory[status],$D$11,0)*MATCH(orderHistory[order_type],$D$13,0)),MATCH(ROW(orderHistory[customer]),ROW(orderHistory[customer])),""),ROWS($A$15:A40)+$B$3))))),""))</f>
        <v/>
      </c>
      <c r="R35" s="377" t="str">
        <f t="array" ref="R35">IFERROR(IF($D$9="",IF($D$11="",IF($D$13="",INDEX(orderHistory[inv_amount],SMALL(MATCH(ROW(orderHistory[customer]),ROW(orderHistory[customer])),ROWS($A$15:A40)+$B$3)),INDEX(orderHistory[inv_amount],SMALL(IF(ISNUMBER(MATCH(orderHistory[order_type],$D$13,0)),MATCH(ROW(orderHistory[customer]),ROW(orderHistory[customer])),""),ROWS($A$15:A40)+$B$3))),IF($D$13="",INDEX(orderHistory[inv_amount],SMALL(IF(ISNUMBER(MATCH(orderHistory[status],$D$11,0)),MATCH(ROW(orderHistory[customer]),ROW(orderHistory[customer])),""),ROWS($A$15:A40)+$B$3)),INDEX(orderHistory[inv_amount],SMALL(IF(ISNUMBER(MATCH(orderHistory[status],$D$11,0)*MATCH(orderHistory[order_type],$D$13,0)),MATCH(ROW(orderHistory[customer]),ROW(orderHistory[customer])),""),ROWS($A$15:A40)+$B$3)))),IF($D$11="",IF($D$13="",INDEX(orderHistory[inv_amount],SMALL(IF(ISNUMBER(MATCH(orderHistory[customer],$D$9,0)),MATCH(ROW(orderHistory[customer]),ROW(orderHistory[customer])),""),ROWS($A$15:A40)+$B$3)),INDEX(orderHistory[inv_amount],SMALL(IF(ISNUMBER(MATCH(orderHistory[customer],$D$9,0)*MATCH(orderHistory[order_type],$D$13,0)),MATCH(ROW(orderHistory[customer]),ROW(orderHistory[customer])),""),ROWS($A$15:A40)+$B$3))),IF($D$13="",INDEX(orderHistory[inv_amount],SMALL(IF(ISNUMBER(MATCH(orderHistory[customer],$D$9,0)*MATCH(orderHistory[status],$D$11,0)),MATCH(ROW(orderHistory[customer]),ROW(orderHistory[customer])),""),ROWS($A$15:A40)+$B$3)),INDEX(orderHistory[inv_amount],SMALL(IF(ISNUMBER(MATCH(orderHistory[customer],$D$9,0)*MATCH(orderHistory[status],$D$11,0)*MATCH(orderHistory[order_type],$D$13,0)),MATCH(ROW(orderHistory[customer]),ROW(orderHistory[customer])),""),ROWS($A$15:A40)+$B$3))))),"")</f>
        <v/>
      </c>
      <c r="S35" s="383" t="str">
        <f t="shared" si="0"/>
        <v/>
      </c>
      <c r="T35" s="385" t="str">
        <f t="array" ref="T35">IFERROR(IF($D$9="",IF($D$11="",IF($D$13="",INDEX(orderHistory[payed],SMALL(MATCH(ROW(orderHistory[customer]),ROW(orderHistory[customer])),ROWS($A$15:A40)+$B$3)),INDEX(orderHistory[payed],SMALL(IF(ISNUMBER(MATCH(orderHistory[order_type],$D$13,0)),MATCH(ROW(orderHistory[customer]),ROW(orderHistory[customer])),""),ROWS($A$15:A40)+$B$3))),IF($D$13="",INDEX(orderHistory[payed],SMALL(IF(ISNUMBER(MATCH(orderHistory[status],$D$11,0)),MATCH(ROW(orderHistory[customer]),ROW(orderHistory[customer])),""),ROWS($A$15:A40)+$B$3)),INDEX(orderHistory[payed],SMALL(IF(ISNUMBER(MATCH(orderHistory[status],$D$11,0)*MATCH(orderHistory[order_type],$D$13,0)),MATCH(ROW(orderHistory[customer]),ROW(orderHistory[customer])),""),ROWS($A$15:A40)+$B$3)))),IF($D$11="",IF($D$13="",INDEX(orderHistory[payed],SMALL(IF(ISNUMBER(MATCH(orderHistory[customer],$D$9,0)),MATCH(ROW(orderHistory[customer]),ROW(orderHistory[customer])),""),ROWS($A$15:A40)+$B$3)),INDEX(orderHistory[payed],SMALL(IF(ISNUMBER(MATCH(orderHistory[customer],$D$9,0)*MATCH(orderHistory[order_type],$D$13,0)),MATCH(ROW(orderHistory[customer]),ROW(orderHistory[customer])),""),ROWS($A$15:A40)+$B$3))),IF($D$13="",INDEX(orderHistory[payed],SMALL(IF(ISNUMBER(MATCH(orderHistory[customer],$D$9,0)*MATCH(orderHistory[status],$D$11,0)),MATCH(ROW(orderHistory[customer]),ROW(orderHistory[customer])),""),ROWS($A$15:A40)+$B$3)),INDEX(orderHistory[payed],SMALL(IF(ISNUMBER(MATCH(orderHistory[customer],$D$9,0)*MATCH(orderHistory[status],$D$11,0)*MATCH(orderHistory[order_type],$D$13,0)),MATCH(ROW(orderHistory[customer]),ROW(orderHistory[customer])),""),ROWS($A$15:A40)+$B$3))))),"")</f>
        <v/>
      </c>
      <c r="U35" s="386" t="str">
        <f t="array" ref="U35">IFERROR(IF($D$9="",IF($D$11="",IF($D$13="",INDEX(orderHistory[shipping_method],SMALL(MATCH(ROW(orderHistory[customer]),ROW(orderHistory[customer])),ROWS($A$15:A40)+$B$3)),INDEX(orderHistory[shipping_method],SMALL(IF(ISNUMBER(MATCH(orderHistory[order_type],$D$13,0)),MATCH(ROW(orderHistory[customer]),ROW(orderHistory[customer])),""),ROWS($A$15:A40)+$B$3))),IF($D$13="",INDEX(orderHistory[shipping_method],SMALL(IF(ISNUMBER(MATCH(orderHistory[status],$D$11,0)),MATCH(ROW(orderHistory[customer]),ROW(orderHistory[customer])),""),ROWS($A$15:A40)+$B$3)),INDEX(orderHistory[shipping_method],SMALL(IF(ISNUMBER(MATCH(orderHistory[status],$D$11,0)*MATCH(orderHistory[order_type],$D$13,0)),MATCH(ROW(orderHistory[customer]),ROW(orderHistory[customer])),""),ROWS($A$15:A40)+$B$3)))),IF($D$11="",IF($D$13="",INDEX(orderHistory[shipping_method],SMALL(IF(ISNUMBER(MATCH(orderHistory[customer],$D$9,0)),MATCH(ROW(orderHistory[customer]),ROW(orderHistory[customer])),""),ROWS($A$15:A40)+$B$3)),INDEX(orderHistory[shipping_method],SMALL(IF(ISNUMBER(MATCH(orderHistory[customer],$D$9,0)*MATCH(orderHistory[order_type],$D$13,0)),MATCH(ROW(orderHistory[customer]),ROW(orderHistory[customer])),""),ROWS($A$15:A40)+$B$3))),IF($D$13="",INDEX(orderHistory[shipping_method],SMALL(IF(ISNUMBER(MATCH(orderHistory[customer],$D$9,0)*MATCH(orderHistory[status],$D$11,0)),MATCH(ROW(orderHistory[customer]),ROW(orderHistory[customer])),""),ROWS($A$15:A40)+$B$3)),INDEX(orderHistory[shipping_method],SMALL(IF(ISNUMBER(MATCH(orderHistory[customer],$D$9,0)*MATCH(orderHistory[status],$D$11,0)*MATCH(orderHistory[order_type],$D$13,0)),MATCH(ROW(orderHistory[customer]),ROW(orderHistory[customer])),""),ROWS($A$15:A40)+$B$3))))),"")</f>
        <v/>
      </c>
      <c r="V35" s="387" t="str">
        <f t="array" ref="V35">IFERROR(IF($D$9="",IF($D$11="",IF($D$13="",INDEX(orderHistory[status],SMALL(MATCH(ROW(orderHistory[customer]),ROW(orderHistory[customer])),ROWS($A$15:A40)+$B$3)),INDEX(orderHistory[status],SMALL(IF(ISNUMBER(MATCH(orderHistory[order_type],$D$13,0)),MATCH(ROW(orderHistory[customer]),ROW(orderHistory[customer])),""),ROWS($A$15:A40)+$B$3))),IF($D$13="",INDEX(orderHistory[status],SMALL(IF(ISNUMBER(MATCH(orderHistory[status],$D$11,0)),MATCH(ROW(orderHistory[customer]),ROW(orderHistory[customer])),""),ROWS($A$15:A40)+$B$3)),INDEX(orderHistory[status],SMALL(IF(ISNUMBER(MATCH(orderHistory[status],$D$11,0)*MATCH(orderHistory[order_type],$D$13,0)),MATCH(ROW(orderHistory[customer]),ROW(orderHistory[customer])),""),ROWS($A$15:A40)+$B$3)))),IF($D$11="",IF($D$13="",INDEX(orderHistory[status],SMALL(IF(ISNUMBER(MATCH(orderHistory[customer],$D$9,0)),MATCH(ROW(orderHistory[customer]),ROW(orderHistory[customer])),""),ROWS($A$15:A40)+$B$3)),INDEX(orderHistory[status],SMALL(IF(ISNUMBER(MATCH(orderHistory[customer],$D$9,0)*MATCH(orderHistory[order_type],$D$13,0)),MATCH(ROW(orderHistory[customer]),ROW(orderHistory[customer])),""),ROWS($A$15:A40)+$B$3))),IF($D$13="",INDEX(orderHistory[status],SMALL(IF(ISNUMBER(MATCH(orderHistory[customer],$D$9,0)*MATCH(orderHistory[status],$D$11,0)),MATCH(ROW(orderHistory[customer]),ROW(orderHistory[customer])),""),ROWS($A$15:A40)+$B$3)),INDEX(orderHistory[status],SMALL(IF(ISNUMBER(MATCH(orderHistory[customer],$D$9,0)*MATCH(orderHistory[status],$D$11,0)*MATCH(orderHistory[order_type],$D$13,0)),MATCH(ROW(orderHistory[customer]),ROW(orderHistory[customer])),""),ROWS($A$15:A40)+$B$3))))),"")</f>
        <v/>
      </c>
      <c r="W35" s="111"/>
      <c r="AQ35" s="125"/>
      <c r="AR35" s="120"/>
      <c r="AS35" s="120"/>
      <c r="AT35" s="120"/>
      <c r="AU35" s="121"/>
      <c r="AW35" s="131"/>
      <c r="AX35" s="120"/>
      <c r="AY35" s="120"/>
      <c r="AZ35" s="120"/>
      <c r="BA35" s="120"/>
      <c r="BB35" s="120"/>
      <c r="BC35" s="120"/>
      <c r="BD35" s="120"/>
      <c r="BE35" s="120"/>
      <c r="BF35" s="120"/>
      <c r="BG35" s="175"/>
      <c r="BH35" s="120"/>
      <c r="BI35" s="291"/>
      <c r="BJ35" s="121"/>
      <c r="BK35" s="146"/>
      <c r="BL35" s="147"/>
      <c r="BM35" s="148"/>
      <c r="BN35" s="147"/>
      <c r="BO35" s="148"/>
      <c r="BZ35" s="304"/>
      <c r="CA35" s="270" t="str">
        <f>IF(BZ35="","",VLOOKUP(BZ35,bhpc_data[],7,FALSE))</f>
        <v/>
      </c>
      <c r="CB35" s="303"/>
      <c r="CC35" s="643"/>
      <c r="CD35" s="297"/>
      <c r="CE35" s="645"/>
      <c r="CF35" s="298"/>
      <c r="CG35" s="301" t="str">
        <f>IFERROR(ROUNDUP(CB35/VLOOKUP(BZ35,bhpc_data[],9,FALSE),0)+ROUNDUP(CD35/VLOOKUP(BZ35,bhpc_data[],9,FALSE),0),"")</f>
        <v/>
      </c>
      <c r="CH35" s="302" t="str">
        <f>IFERROR(ROUNDUP(CD35/VLOOKUP(BZ35,bhpc_data[],9,FALSE),0),"")</f>
        <v/>
      </c>
      <c r="CI35" s="302" t="str">
        <f>IFERROR(ROUNDUP(CF35/VLOOKUP(BZ35,bhpc_data[],9,FALSE),0),"")</f>
        <v/>
      </c>
      <c r="CJ35" s="302" t="str">
        <f>IFERROR(((CB35+CD35+CF35)/VLOOKUP(BZ35,bhpc_data[],9,FALSE))*VLOOKUP(BZ35,bhpc_data[],17,FALSE),"")</f>
        <v/>
      </c>
      <c r="CK35" s="302" t="str">
        <f>IFERROR(((CB35+CD35+CF35)/VLOOKUP(BZ35,bhpc_data[],9,FALSE))*VLOOKUP(BZ35,bhpc_data[],18,FALSE),"")</f>
        <v/>
      </c>
      <c r="CL35" s="346" t="str">
        <f>IFERROR((CB35+CD35)/VLOOKUP(BZ35,bhpc_data[],9,FALSE)*VLOOKUP(BZ35,bhpc_data[],14,FALSE)*VLOOKUP(BZ35,bhpc_data[],15,FALSE)*VLOOKUP(BZ35,bhpc_data[],16,FALSE)/1000000000,"")</f>
        <v/>
      </c>
      <c r="CM35" s="409" t="str">
        <f>IFERROR(VLOOKUP(BZ35,bhpc_data[],2,FALSE),"")</f>
        <v/>
      </c>
      <c r="CN35" s="409" t="str">
        <f>IFERROR(VLOOKUP(BZ35,bhpc_data[],19,FALSE),"")</f>
        <v/>
      </c>
      <c r="CO35" s="653" t="str">
        <f>IFERROR(VLOOKUP(BZ35,bhpc_data[],6,FALSE),"")</f>
        <v/>
      </c>
      <c r="CP35" s="654" t="str">
        <f>IFERROR(VLOOKUP(BZ35,inventory[],4,FALSE),"")</f>
        <v/>
      </c>
      <c r="CQ35" s="655" t="str">
        <f>IFERROR(IF(BZ35="","",IF($BX$15="SALE",VLOOKUP(BZ35,inventory[],5,FALSE),IF($BX$15="SAMPLING",VLOOKUP(BZ35,inventory[],5,FALSE),""))),"")</f>
        <v/>
      </c>
      <c r="CR35" s="656" t="str">
        <f>IFERROR(IF(BZ35="","",(CB35+CD35+CF35)*CQ35),"")</f>
        <v/>
      </c>
      <c r="CS35" s="557" t="str">
        <f>IF(BZ35="","",CB35*CC35+CD35*CE35)</f>
        <v/>
      </c>
      <c r="CU35" s="125"/>
      <c r="CV35" s="365" t="s">
        <v>1169</v>
      </c>
      <c r="CW35" s="624" t="s">
        <v>1247</v>
      </c>
      <c r="CX35" s="570"/>
      <c r="CY35" s="553"/>
      <c r="CZ35" s="121"/>
      <c r="DA35" s="540" t="str">
        <f>IFERROR(VLOOKUP(BZ35,bhpc_data[],22,FALSE),"")</f>
        <v/>
      </c>
      <c r="DF35" s="167"/>
      <c r="DG35" s="122"/>
      <c r="DH35" s="168"/>
      <c r="DI35" s="122"/>
      <c r="DJ35" s="122"/>
      <c r="DK35" s="122"/>
      <c r="DL35" s="122"/>
      <c r="DM35" s="122"/>
      <c r="DN35" s="122"/>
      <c r="DO35" s="122"/>
      <c r="DP35" s="122"/>
      <c r="DQ35" s="122"/>
      <c r="DR35" s="122"/>
      <c r="DS35" s="122"/>
      <c r="DT35" s="122"/>
      <c r="DU35" s="122"/>
      <c r="DV35" s="123"/>
      <c r="EE35" s="453" t="s">
        <v>94</v>
      </c>
      <c r="EF35" s="447" t="str">
        <f>VLOOKUP(EE35,bhpc_data[],7,FALSE)</f>
        <v>BHPC GIFT SET SPORT MEN 9 EDT 100ML + DEO 175ML</v>
      </c>
      <c r="EG35" s="555">
        <f>IFERROR(VLOOKUP(EE35,inventory[],4,FALSE),0)</f>
        <v>250</v>
      </c>
      <c r="EH35" s="555">
        <f>IFERROR(VLOOKUP(warehouse[[#This Row],[SKU]],$EQ$10:$ES$38,3,FALSE),0)</f>
        <v>0</v>
      </c>
      <c r="EI35" s="555">
        <f>IFERROR(VLOOKUP(warehouse[[#This Row],[SKU]],$EM$10:$EO$61,3,FALSE),0)</f>
        <v>256</v>
      </c>
      <c r="EJ35" s="555">
        <f>warehouse[[#This Row],[T-1]]+warehouse[[#This Row],[SUPPLY]]-warehouse[[#This Row],[SALE + SAMPLING]]</f>
        <v>-6</v>
      </c>
      <c r="EM35" s="74" t="s">
        <v>115</v>
      </c>
      <c r="EN35" s="74" t="s">
        <v>116</v>
      </c>
      <c r="EO35" s="431">
        <v>3602</v>
      </c>
      <c r="EQ35" s="74" t="s">
        <v>195</v>
      </c>
      <c r="ER35" s="74" t="s">
        <v>196</v>
      </c>
      <c r="ES35" s="446">
        <v>6720</v>
      </c>
    </row>
    <row r="36" spans="6:149" ht="15" customHeight="1" thickBot="1">
      <c r="F36" s="131"/>
      <c r="G36" s="665" t="str">
        <f>IF(VLOOKUP($B$4,orderHistory[],15,FALSE)=0,"-",VLOOKUP($B$4,orderHistory[],15,FALSE))</f>
        <v>Fercam</v>
      </c>
      <c r="H36" s="120"/>
      <c r="I36" s="584">
        <f>VLOOKUP($B$4,orderHistory[],16,FALSE)</f>
        <v>1060</v>
      </c>
      <c r="J36" s="121"/>
      <c r="L36" s="274" t="str">
        <f t="array" ref="L36">IFERROR(IF($D$9="",IF($D$11="",IF($D$13="",INDEX(orderHistory[customer],SMALL(MATCH(ROW(orderHistory[customer]),ROW(orderHistory[customer])),ROWS($A$15:A41)+$B$3)),INDEX(orderHistory[customer],SMALL(IF(ISNUMBER(MATCH(orderHistory[order_type],$D$13,0)),MATCH(ROW(orderHistory[customer]),ROW(orderHistory[customer])),""),ROWS($A$15:A41)+$B$3))),IF($D$13="",INDEX(orderHistory[customer],SMALL(IF(ISNUMBER(MATCH(orderHistory[status],$D$11,0)),MATCH(ROW(orderHistory[customer]),ROW(orderHistory[customer])),""),ROWS($A$15:A41)+$B$3)),INDEX(orderHistory[customer],SMALL(IF(ISNUMBER(MATCH(orderHistory[status],$D$11,0)*MATCH(orderHistory[order_type],$D$13,0)),MATCH(ROW(orderHistory[customer]),ROW(orderHistory[customer])),""),ROWS($A$15:A41)+$B$3)))),IF($D$11="",IF($D$13="",INDEX(orderHistory[customer],SMALL(IF(ISNUMBER(MATCH(orderHistory[customer],$D$9,0)),MATCH(ROW(orderHistory[customer]),ROW(orderHistory[customer])),""),ROWS($A$15:A41)+$B$3)),INDEX(orderHistory[customer],SMALL(IF(ISNUMBER(MATCH(orderHistory[customer],$D$9,0)*MATCH(orderHistory[order_type],$D$13,0)),MATCH(ROW(orderHistory[customer]),ROW(orderHistory[customer])),""),ROWS($A$15:A41)+$B$3))),IF($D$13="",INDEX(orderHistory[customer],SMALL(IF(ISNUMBER(MATCH(orderHistory[customer],$D$9,0)*MATCH(orderHistory[status],$D$11,0)),MATCH(ROW(orderHistory[customer]),ROW(orderHistory[customer])),""),ROWS($A$15:A41)+$B$3)),INDEX(orderHistory[customer],SMALL(IF(ISNUMBER(MATCH(orderHistory[customer],$D$9,0)*MATCH(orderHistory[status],$D$11,0)*MATCH(orderHistory[order_type],$D$13,0)),MATCH(ROW(orderHistory[customer]),ROW(orderHistory[customer])),""),ROWS($A$15:A41)+$B$3))))),"")</f>
        <v/>
      </c>
      <c r="M36" s="391" t="str">
        <f t="array" ref="M36">IFERROR(IF($D$9="",IF($D$11="",IF($D$13="",INDEX(orderHistory[order_no],SMALL(MATCH(ROW(orderHistory[customer]),ROW(orderHistory[customer])),ROWS($A$15:A41)+$B$3)),INDEX(orderHistory[order_no],SMALL(IF(ISNUMBER(MATCH(orderHistory[order_type],$D$13,0)),MATCH(ROW(orderHistory[customer]),ROW(orderHistory[customer])),""),ROWS($A$15:A41)+$B$3))),IF($D$13="",INDEX(orderHistory[order_no],SMALL(IF(ISNUMBER(MATCH(orderHistory[status],$D$11,0)),MATCH(ROW(orderHistory[customer]),ROW(orderHistory[customer])),""),ROWS($A$15:A41)+$B$3)),INDEX(orderHistory[order_no],SMALL(IF(ISNUMBER(MATCH(orderHistory[status],$D$11,0)*MATCH(orderHistory[order_type],$D$13,0)),MATCH(ROW(orderHistory[customer]),ROW(orderHistory[customer])),""),ROWS($A$15:A41)+$B$3)))),IF($D$11="",IF($D$13="",INDEX(orderHistory[order_no],SMALL(IF(ISNUMBER(MATCH(orderHistory[customer],$D$9,0)),MATCH(ROW(orderHistory[customer]),ROW(orderHistory[customer])),""),ROWS($A$15:A41)+$B$3)),INDEX(orderHistory[order_no],SMALL(IF(ISNUMBER(MATCH(orderHistory[customer],$D$9,0)*MATCH(orderHistory[order_type],$D$13,0)),MATCH(ROW(orderHistory[customer]),ROW(orderHistory[customer])),""),ROWS($A$15:A41)+$B$3))),IF($D$13="",INDEX(orderHistory[order_no],SMALL(IF(ISNUMBER(MATCH(orderHistory[customer],$D$9,0)*MATCH(orderHistory[status],$D$11,0)),MATCH(ROW(orderHistory[customer]),ROW(orderHistory[customer])),""),ROWS($A$15:A41)+$B$3)),INDEX(orderHistory[order_no],SMALL(IF(ISNUMBER(MATCH(orderHistory[customer],$D$9,0)*MATCH(orderHistory[status],$D$11,0)*MATCH(orderHistory[order_type],$D$13,0)),MATCH(ROW(orderHistory[customer]),ROW(orderHistory[customer])),""),ROWS($A$15:A41)+$B$3))))),"")</f>
        <v/>
      </c>
      <c r="N36" s="386" t="str">
        <f t="array" ref="N36">IFERROR(IF($D$9="",IF($D$11="",IF($D$13="",INDEX(orderHistory[order_type],SMALL(MATCH(ROW(orderHistory[customer]),ROW(orderHistory[customer])),ROWS($A$15:A41)+$B$3)),INDEX(orderHistory[order_type],SMALL(IF(ISNUMBER(MATCH(orderHistory[order_type],$D$13,0)),MATCH(ROW(orderHistory[customer]),ROW(orderHistory[customer])),""),ROWS($A$15:A41)+$B$3))),IF($D$13="",INDEX(orderHistory[order_type],SMALL(IF(ISNUMBER(MATCH(orderHistory[status],$D$11,0)),MATCH(ROW(orderHistory[customer]),ROW(orderHistory[customer])),""),ROWS($A$15:A41)+$B$3)),INDEX(orderHistory[order_type],SMALL(IF(ISNUMBER(MATCH(orderHistory[status],$D$11,0)*MATCH(orderHistory[order_type],$D$13,0)),MATCH(ROW(orderHistory[customer]),ROW(orderHistory[customer])),""),ROWS($A$15:A41)+$B$3)))),IF($D$11="",IF($D$13="",INDEX(orderHistory[order_type],SMALL(IF(ISNUMBER(MATCH(orderHistory[customer],$D$9,0)),MATCH(ROW(orderHistory[customer]),ROW(orderHistory[customer])),""),ROWS($A$15:A41)+$B$3)),INDEX(orderHistory[order_type],SMALL(IF(ISNUMBER(MATCH(orderHistory[customer],$D$9,0)*MATCH(orderHistory[order_type],$D$13,0)),MATCH(ROW(orderHistory[customer]),ROW(orderHistory[customer])),""),ROWS($A$15:A41)+$B$3))),IF($D$13="",INDEX(orderHistory[order_type],SMALL(IF(ISNUMBER(MATCH(orderHistory[customer],$D$9,0)*MATCH(orderHistory[status],$D$11,0)),MATCH(ROW(orderHistory[customer]),ROW(orderHistory[customer])),""),ROWS($A$15:A41)+$B$3)),INDEX(orderHistory[order_type],SMALL(IF(ISNUMBER(MATCH(orderHistory[customer],$D$9,0)*MATCH(orderHistory[status],$D$11,0)*MATCH(orderHistory[order_type],$D$13,0)),MATCH(ROW(orderHistory[customer]),ROW(orderHistory[customer])),""),ROWS($A$15:A41)+$B$3))))),"")</f>
        <v/>
      </c>
      <c r="O36" s="275" t="str">
        <f t="array" ref="O36">IFERROR(IF($D$9="",IF($D$11="",IF($D$13="",INDEX(orderHistory[order_date],SMALL(MATCH(ROW(orderHistory[customer]),ROW(orderHistory[customer])),ROWS($A$15:A41)+$B$3)),INDEX(orderHistory[order_date],SMALL(IF(ISNUMBER(MATCH(orderHistory[order_type],$D$13,0)),MATCH(ROW(orderHistory[customer]),ROW(orderHistory[customer])),""),ROWS($A$15:A41)+$B$3))),IF($D$13="",INDEX(orderHistory[order_date],SMALL(IF(ISNUMBER(MATCH(orderHistory[status],$D$11,0)),MATCH(ROW(orderHistory[customer]),ROW(orderHistory[customer])),""),ROWS($A$15:A41)+$B$3)),INDEX(orderHistory[order_date],SMALL(IF(ISNUMBER(MATCH(orderHistory[status],$D$11,0)*MATCH(orderHistory[order_type],$D$13,0)),MATCH(ROW(orderHistory[customer]),ROW(orderHistory[customer])),""),ROWS($A$15:A41)+$B$3)))),IF($D$11="",IF($D$13="",INDEX(orderHistory[order_date],SMALL(IF(ISNUMBER(MATCH(orderHistory[customer],$D$9,0)),MATCH(ROW(orderHistory[customer]),ROW(orderHistory[customer])),""),ROWS($A$15:A41)+$B$3)),INDEX(orderHistory[order_date],SMALL(IF(ISNUMBER(MATCH(orderHistory[customer],$D$9,0)*MATCH(orderHistory[order_type],$D$13,0)),MATCH(ROW(orderHistory[customer]),ROW(orderHistory[customer])),""),ROWS($A$15:A41)+$B$3))),IF($D$13="",INDEX(orderHistory[order_date],SMALL(IF(ISNUMBER(MATCH(orderHistory[customer],$D$9,0)*MATCH(orderHistory[status],$D$11,0)),MATCH(ROW(orderHistory[customer]),ROW(orderHistory[customer])),""),ROWS($A$15:A41)+$B$3)),INDEX(orderHistory[order_date],SMALL(IF(ISNUMBER(MATCH(orderHistory[customer],$D$9,0)*MATCH(orderHistory[status],$D$11,0)*MATCH(orderHistory[order_type],$D$13,0)),MATCH(ROW(orderHistory[customer]),ROW(orderHistory[customer])),""),ROWS($A$15:A41)+$B$3))))),"")</f>
        <v/>
      </c>
      <c r="P36" s="379" t="str">
        <f t="array" ref="P36">IF(IFERROR(IF($D$9="",IF($D$11="",IF($D$13="",INDEX(orderHistory[invoice_no],SMALL(MATCH(ROW(orderHistory[customer]),ROW(orderHistory[customer])),ROWS($A$15:A41)+$B$3)),INDEX(orderHistory[invoice_no],SMALL(IF(ISNUMBER(MATCH(orderHistory[order_type],$D$13,0)),MATCH(ROW(orderHistory[customer]),ROW(orderHistory[customer])),""),ROWS($A$15:A41)+$B$3))),IF($D$13="",INDEX(orderHistory[invoice_no],SMALL(IF(ISNUMBER(MATCH(orderHistory[status],$D$11,0)),MATCH(ROW(orderHistory[customer]),ROW(orderHistory[customer])),""),ROWS($A$15:A41)+$B$3)),INDEX(orderHistory[invoice_no],SMALL(IF(ISNUMBER(MATCH(orderHistory[status],$D$11,0)*MATCH(orderHistory[order_type],$D$13,0)),MATCH(ROW(orderHistory[customer]),ROW(orderHistory[customer])),""),ROWS($A$15:A41)+$B$3)))),IF($D$11="",IF($D$13="",INDEX(orderHistory[invoice_no],SMALL(IF(ISNUMBER(MATCH(orderHistory[customer],$D$9,0)),MATCH(ROW(orderHistory[customer]),ROW(orderHistory[customer])),""),ROWS($A$15:A41)+$B$3)),INDEX(orderHistory[invoice_no],SMALL(IF(ISNUMBER(MATCH(orderHistory[customer],$D$9,0)*MATCH(orderHistory[order_type],$D$13,0)),MATCH(ROW(orderHistory[customer]),ROW(orderHistory[customer])),""),ROWS($A$15:A41)+$B$3))),IF($D$13="",INDEX(orderHistory[invoice_no],SMALL(IF(ISNUMBER(MATCH(orderHistory[customer],$D$9,0)*MATCH(orderHistory[status],$D$11,0)),MATCH(ROW(orderHistory[customer]),ROW(orderHistory[customer])),""),ROWS($A$15:A41)+$B$3)),INDEX(orderHistory[invoice_no],SMALL(IF(ISNUMBER(MATCH(orderHistory[customer],$D$9,0)*MATCH(orderHistory[status],$D$11,0)*MATCH(orderHistory[order_type],$D$13,0)),MATCH(ROW(orderHistory[customer]),ROW(orderHistory[customer])),""),ROWS($A$15:A41)+$B$3))))),"")=0,"",IFERROR(IF($D$9="",IF($D$11="",IF($D$13="",INDEX(orderHistory[invoice_no],SMALL(MATCH(ROW(orderHistory[customer]),ROW(orderHistory[customer])),ROWS($A$15:A41)+$B$3)),INDEX(orderHistory[invoice_no],SMALL(IF(ISNUMBER(MATCH(orderHistory[order_type],$D$13,0)),MATCH(ROW(orderHistory[customer]),ROW(orderHistory[customer])),""),ROWS($A$15:A41)+$B$3))),IF($D$13="",INDEX(orderHistory[invoice_no],SMALL(IF(ISNUMBER(MATCH(orderHistory[status],$D$11,0)),MATCH(ROW(orderHistory[customer]),ROW(orderHistory[customer])),""),ROWS($A$15:A41)+$B$3)),INDEX(orderHistory[invoice_no],SMALL(IF(ISNUMBER(MATCH(orderHistory[status],$D$11,0)*MATCH(orderHistory[order_type],$D$13,0)),MATCH(ROW(orderHistory[customer]),ROW(orderHistory[customer])),""),ROWS($A$15:A41)+$B$3)))),IF($D$11="",IF($D$13="",INDEX(orderHistory[invoice_no],SMALL(IF(ISNUMBER(MATCH(orderHistory[customer],$D$9,0)),MATCH(ROW(orderHistory[customer]),ROW(orderHistory[customer])),""),ROWS($A$15:A41)+$B$3)),INDEX(orderHistory[invoice_no],SMALL(IF(ISNUMBER(MATCH(orderHistory[customer],$D$9,0)*MATCH(orderHistory[order_type],$D$13,0)),MATCH(ROW(orderHistory[customer]),ROW(orderHistory[customer])),""),ROWS($A$15:A41)+$B$3))),IF($D$13="",INDEX(orderHistory[invoice_no],SMALL(IF(ISNUMBER(MATCH(orderHistory[customer],$D$9,0)*MATCH(orderHistory[status],$D$11,0)),MATCH(ROW(orderHistory[customer]),ROW(orderHistory[customer])),""),ROWS($A$15:A41)+$B$3)),INDEX(orderHistory[invoice_no],SMALL(IF(ISNUMBER(MATCH(orderHistory[customer],$D$9,0)*MATCH(orderHistory[status],$D$11,0)*MATCH(orderHistory[order_type],$D$13,0)),MATCH(ROW(orderHistory[customer]),ROW(orderHistory[customer])),""),ROWS($A$15:A41)+$B$3))))),""))</f>
        <v/>
      </c>
      <c r="Q36" s="381" t="str">
        <f t="array" ref="Q36">IF(IFERROR(IF($D$9="",IF($D$11="",IF($D$13="",INDEX(orderHistory[invoice_date],SMALL(MATCH(ROW(orderHistory[customer]),ROW(orderHistory[customer])),ROWS($A$15:A41)+$B$3)),INDEX(orderHistory[invoice_date],SMALL(IF(ISNUMBER(MATCH(orderHistory[order_type],$D$13,0)),MATCH(ROW(orderHistory[customer]),ROW(orderHistory[customer])),""),ROWS($A$15:A41)+$B$3))),IF($D$13="",INDEX(orderHistory[invoice_date],SMALL(IF(ISNUMBER(MATCH(orderHistory[status],$D$11,0)),MATCH(ROW(orderHistory[customer]),ROW(orderHistory[customer])),""),ROWS($A$15:A41)+$B$3)),INDEX(orderHistory[invoice_date],SMALL(IF(ISNUMBER(MATCH(orderHistory[status],$D$11,0)*MATCH(orderHistory[order_type],$D$13,0)),MATCH(ROW(orderHistory[customer]),ROW(orderHistory[customer])),""),ROWS($A$15:A41)+$B$3)))),IF($D$11="",IF($D$13="",INDEX(orderHistory[invoice_date],SMALL(IF(ISNUMBER(MATCH(orderHistory[customer],$D$9,0)),MATCH(ROW(orderHistory[customer]),ROW(orderHistory[customer])),""),ROWS($A$15:A41)+$B$3)),INDEX(orderHistory[invoice_date],SMALL(IF(ISNUMBER(MATCH(orderHistory[customer],$D$9,0)*MATCH(orderHistory[order_type],$D$13,0)),MATCH(ROW(orderHistory[customer]),ROW(orderHistory[customer])),""),ROWS($A$15:A41)+$B$3))),IF($D$13="",INDEX(orderHistory[invoice_date],SMALL(IF(ISNUMBER(MATCH(orderHistory[customer],$D$9,0)*MATCH(orderHistory[status],$D$11,0)),MATCH(ROW(orderHistory[customer]),ROW(orderHistory[customer])),""),ROWS($A$15:A41)+$B$3)),INDEX(orderHistory[invoice_date],SMALL(IF(ISNUMBER(MATCH(orderHistory[customer],$D$9,0)*MATCH(orderHistory[status],$D$11,0)*MATCH(orderHistory[order_type],$D$13,0)),MATCH(ROW(orderHistory[customer]),ROW(orderHistory[customer])),""),ROWS($A$15:A41)+$B$3))))),"")=0,"",IFERROR(IF($D$9="",IF($D$11="",IF($D$13="",INDEX(orderHistory[invoice_date],SMALL(MATCH(ROW(orderHistory[customer]),ROW(orderHistory[customer])),ROWS($A$15:A41)+$B$3)),INDEX(orderHistory[invoice_date],SMALL(IF(ISNUMBER(MATCH(orderHistory[order_type],$D$13,0)),MATCH(ROW(orderHistory[customer]),ROW(orderHistory[customer])),""),ROWS($A$15:A41)+$B$3))),IF($D$13="",INDEX(orderHistory[invoice_date],SMALL(IF(ISNUMBER(MATCH(orderHistory[status],$D$11,0)),MATCH(ROW(orderHistory[customer]),ROW(orderHistory[customer])),""),ROWS($A$15:A41)+$B$3)),INDEX(orderHistory[invoice_date],SMALL(IF(ISNUMBER(MATCH(orderHistory[status],$D$11,0)*MATCH(orderHistory[order_type],$D$13,0)),MATCH(ROW(orderHistory[customer]),ROW(orderHistory[customer])),""),ROWS($A$15:A41)+$B$3)))),IF($D$11="",IF($D$13="",INDEX(orderHistory[invoice_date],SMALL(IF(ISNUMBER(MATCH(orderHistory[customer],$D$9,0)),MATCH(ROW(orderHistory[customer]),ROW(orderHistory[customer])),""),ROWS($A$15:A41)+$B$3)),INDEX(orderHistory[invoice_date],SMALL(IF(ISNUMBER(MATCH(orderHistory[customer],$D$9,0)*MATCH(orderHistory[order_type],$D$13,0)),MATCH(ROW(orderHistory[customer]),ROW(orderHistory[customer])),""),ROWS($A$15:A41)+$B$3))),IF($D$13="",INDEX(orderHistory[invoice_date],SMALL(IF(ISNUMBER(MATCH(orderHistory[customer],$D$9,0)*MATCH(orderHistory[status],$D$11,0)),MATCH(ROW(orderHistory[customer]),ROW(orderHistory[customer])),""),ROWS($A$15:A41)+$B$3)),INDEX(orderHistory[invoice_date],SMALL(IF(ISNUMBER(MATCH(orderHistory[customer],$D$9,0)*MATCH(orderHistory[status],$D$11,0)*MATCH(orderHistory[order_type],$D$13,0)),MATCH(ROW(orderHistory[customer]),ROW(orderHistory[customer])),""),ROWS($A$15:A41)+$B$3))))),""))</f>
        <v/>
      </c>
      <c r="R36" s="377" t="str">
        <f t="array" ref="R36">IFERROR(IF($D$9="",IF($D$11="",IF($D$13="",INDEX(orderHistory[inv_amount],SMALL(MATCH(ROW(orderHistory[customer]),ROW(orderHistory[customer])),ROWS($A$15:A41)+$B$3)),INDEX(orderHistory[inv_amount],SMALL(IF(ISNUMBER(MATCH(orderHistory[order_type],$D$13,0)),MATCH(ROW(orderHistory[customer]),ROW(orderHistory[customer])),""),ROWS($A$15:A41)+$B$3))),IF($D$13="",INDEX(orderHistory[inv_amount],SMALL(IF(ISNUMBER(MATCH(orderHistory[status],$D$11,0)),MATCH(ROW(orderHistory[customer]),ROW(orderHistory[customer])),""),ROWS($A$15:A41)+$B$3)),INDEX(orderHistory[inv_amount],SMALL(IF(ISNUMBER(MATCH(orderHistory[status],$D$11,0)*MATCH(orderHistory[order_type],$D$13,0)),MATCH(ROW(orderHistory[customer]),ROW(orderHistory[customer])),""),ROWS($A$15:A41)+$B$3)))),IF($D$11="",IF($D$13="",INDEX(orderHistory[inv_amount],SMALL(IF(ISNUMBER(MATCH(orderHistory[customer],$D$9,0)),MATCH(ROW(orderHistory[customer]),ROW(orderHistory[customer])),""),ROWS($A$15:A41)+$B$3)),INDEX(orderHistory[inv_amount],SMALL(IF(ISNUMBER(MATCH(orderHistory[customer],$D$9,0)*MATCH(orderHistory[order_type],$D$13,0)),MATCH(ROW(orderHistory[customer]),ROW(orderHistory[customer])),""),ROWS($A$15:A41)+$B$3))),IF($D$13="",INDEX(orderHistory[inv_amount],SMALL(IF(ISNUMBER(MATCH(orderHistory[customer],$D$9,0)*MATCH(orderHistory[status],$D$11,0)),MATCH(ROW(orderHistory[customer]),ROW(orderHistory[customer])),""),ROWS($A$15:A41)+$B$3)),INDEX(orderHistory[inv_amount],SMALL(IF(ISNUMBER(MATCH(orderHistory[customer],$D$9,0)*MATCH(orderHistory[status],$D$11,0)*MATCH(orderHistory[order_type],$D$13,0)),MATCH(ROW(orderHistory[customer]),ROW(orderHistory[customer])),""),ROWS($A$15:A41)+$B$3))))),"")</f>
        <v/>
      </c>
      <c r="S36" s="383" t="str">
        <f t="shared" si="0"/>
        <v/>
      </c>
      <c r="T36" s="385" t="str">
        <f t="array" ref="T36">IFERROR(IF($D$9="",IF($D$11="",IF($D$13="",INDEX(orderHistory[payed],SMALL(MATCH(ROW(orderHistory[customer]),ROW(orderHistory[customer])),ROWS($A$15:A41)+$B$3)),INDEX(orderHistory[payed],SMALL(IF(ISNUMBER(MATCH(orderHistory[order_type],$D$13,0)),MATCH(ROW(orderHistory[customer]),ROW(orderHistory[customer])),""),ROWS($A$15:A41)+$B$3))),IF($D$13="",INDEX(orderHistory[payed],SMALL(IF(ISNUMBER(MATCH(orderHistory[status],$D$11,0)),MATCH(ROW(orderHistory[customer]),ROW(orderHistory[customer])),""),ROWS($A$15:A41)+$B$3)),INDEX(orderHistory[payed],SMALL(IF(ISNUMBER(MATCH(orderHistory[status],$D$11,0)*MATCH(orderHistory[order_type],$D$13,0)),MATCH(ROW(orderHistory[customer]),ROW(orderHistory[customer])),""),ROWS($A$15:A41)+$B$3)))),IF($D$11="",IF($D$13="",INDEX(orderHistory[payed],SMALL(IF(ISNUMBER(MATCH(orderHistory[customer],$D$9,0)),MATCH(ROW(orderHistory[customer]),ROW(orderHistory[customer])),""),ROWS($A$15:A41)+$B$3)),INDEX(orderHistory[payed],SMALL(IF(ISNUMBER(MATCH(orderHistory[customer],$D$9,0)*MATCH(orderHistory[order_type],$D$13,0)),MATCH(ROW(orderHistory[customer]),ROW(orderHistory[customer])),""),ROWS($A$15:A41)+$B$3))),IF($D$13="",INDEX(orderHistory[payed],SMALL(IF(ISNUMBER(MATCH(orderHistory[customer],$D$9,0)*MATCH(orderHistory[status],$D$11,0)),MATCH(ROW(orderHistory[customer]),ROW(orderHistory[customer])),""),ROWS($A$15:A41)+$B$3)),INDEX(orderHistory[payed],SMALL(IF(ISNUMBER(MATCH(orderHistory[customer],$D$9,0)*MATCH(orderHistory[status],$D$11,0)*MATCH(orderHistory[order_type],$D$13,0)),MATCH(ROW(orderHistory[customer]),ROW(orderHistory[customer])),""),ROWS($A$15:A41)+$B$3))))),"")</f>
        <v/>
      </c>
      <c r="U36" s="386" t="str">
        <f t="array" ref="U36">IFERROR(IF($D$9="",IF($D$11="",IF($D$13="",INDEX(orderHistory[shipping_method],SMALL(MATCH(ROW(orderHistory[customer]),ROW(orderHistory[customer])),ROWS($A$15:A41)+$B$3)),INDEX(orderHistory[shipping_method],SMALL(IF(ISNUMBER(MATCH(orderHistory[order_type],$D$13,0)),MATCH(ROW(orderHistory[customer]),ROW(orderHistory[customer])),""),ROWS($A$15:A41)+$B$3))),IF($D$13="",INDEX(orderHistory[shipping_method],SMALL(IF(ISNUMBER(MATCH(orderHistory[status],$D$11,0)),MATCH(ROW(orderHistory[customer]),ROW(orderHistory[customer])),""),ROWS($A$15:A41)+$B$3)),INDEX(orderHistory[shipping_method],SMALL(IF(ISNUMBER(MATCH(orderHistory[status],$D$11,0)*MATCH(orderHistory[order_type],$D$13,0)),MATCH(ROW(orderHistory[customer]),ROW(orderHistory[customer])),""),ROWS($A$15:A41)+$B$3)))),IF($D$11="",IF($D$13="",INDEX(orderHistory[shipping_method],SMALL(IF(ISNUMBER(MATCH(orderHistory[customer],$D$9,0)),MATCH(ROW(orderHistory[customer]),ROW(orderHistory[customer])),""),ROWS($A$15:A41)+$B$3)),INDEX(orderHistory[shipping_method],SMALL(IF(ISNUMBER(MATCH(orderHistory[customer],$D$9,0)*MATCH(orderHistory[order_type],$D$13,0)),MATCH(ROW(orderHistory[customer]),ROW(orderHistory[customer])),""),ROWS($A$15:A41)+$B$3))),IF($D$13="",INDEX(orderHistory[shipping_method],SMALL(IF(ISNUMBER(MATCH(orderHistory[customer],$D$9,0)*MATCH(orderHistory[status],$D$11,0)),MATCH(ROW(orderHistory[customer]),ROW(orderHistory[customer])),""),ROWS($A$15:A41)+$B$3)),INDEX(orderHistory[shipping_method],SMALL(IF(ISNUMBER(MATCH(orderHistory[customer],$D$9,0)*MATCH(orderHistory[status],$D$11,0)*MATCH(orderHistory[order_type],$D$13,0)),MATCH(ROW(orderHistory[customer]),ROW(orderHistory[customer])),""),ROWS($A$15:A41)+$B$3))))),"")</f>
        <v/>
      </c>
      <c r="V36" s="387" t="str">
        <f t="array" ref="V36">IFERROR(IF($D$9="",IF($D$11="",IF($D$13="",INDEX(orderHistory[status],SMALL(MATCH(ROW(orderHistory[customer]),ROW(orderHistory[customer])),ROWS($A$15:A41)+$B$3)),INDEX(orderHistory[status],SMALL(IF(ISNUMBER(MATCH(orderHistory[order_type],$D$13,0)),MATCH(ROW(orderHistory[customer]),ROW(orderHistory[customer])),""),ROWS($A$15:A41)+$B$3))),IF($D$13="",INDEX(orderHistory[status],SMALL(IF(ISNUMBER(MATCH(orderHistory[status],$D$11,0)),MATCH(ROW(orderHistory[customer]),ROW(orderHistory[customer])),""),ROWS($A$15:A41)+$B$3)),INDEX(orderHistory[status],SMALL(IF(ISNUMBER(MATCH(orderHistory[status],$D$11,0)*MATCH(orderHistory[order_type],$D$13,0)),MATCH(ROW(orderHistory[customer]),ROW(orderHistory[customer])),""),ROWS($A$15:A41)+$B$3)))),IF($D$11="",IF($D$13="",INDEX(orderHistory[status],SMALL(IF(ISNUMBER(MATCH(orderHistory[customer],$D$9,0)),MATCH(ROW(orderHistory[customer]),ROW(orderHistory[customer])),""),ROWS($A$15:A41)+$B$3)),INDEX(orderHistory[status],SMALL(IF(ISNUMBER(MATCH(orderHistory[customer],$D$9,0)*MATCH(orderHistory[order_type],$D$13,0)),MATCH(ROW(orderHistory[customer]),ROW(orderHistory[customer])),""),ROWS($A$15:A41)+$B$3))),IF($D$13="",INDEX(orderHistory[status],SMALL(IF(ISNUMBER(MATCH(orderHistory[customer],$D$9,0)*MATCH(orderHistory[status],$D$11,0)),MATCH(ROW(orderHistory[customer]),ROW(orderHistory[customer])),""),ROWS($A$15:A41)+$B$3)),INDEX(orderHistory[status],SMALL(IF(ISNUMBER(MATCH(orderHistory[customer],$D$9,0)*MATCH(orderHistory[status],$D$11,0)*MATCH(orderHistory[order_type],$D$13,0)),MATCH(ROW(orderHistory[customer]),ROW(orderHistory[customer])),""),ROWS($A$15:A41)+$B$3))))),"")</f>
        <v/>
      </c>
      <c r="W36" s="187"/>
      <c r="AQ36" s="135" t="s">
        <v>734</v>
      </c>
      <c r="AR36" s="137"/>
      <c r="AS36" s="136"/>
      <c r="AT36" s="136"/>
      <c r="AU36" s="136"/>
      <c r="AW36" s="131"/>
      <c r="AX36" s="120"/>
      <c r="AY36" s="120"/>
      <c r="AZ36" s="120"/>
      <c r="BA36" s="120"/>
      <c r="BB36" s="120"/>
      <c r="BC36" s="120"/>
      <c r="BD36" s="120"/>
      <c r="BE36" s="120"/>
      <c r="BF36" s="120"/>
      <c r="BG36" s="175"/>
      <c r="BH36" s="120"/>
      <c r="BI36" s="291"/>
      <c r="BJ36" s="121"/>
      <c r="BK36" s="146"/>
      <c r="BL36" s="147"/>
      <c r="BM36" s="148"/>
      <c r="BN36" s="147"/>
      <c r="BO36" s="148"/>
      <c r="BZ36" s="304"/>
      <c r="CA36" s="270" t="str">
        <f>IF(BZ36="","",VLOOKUP(BZ36,bhpc_data[],7,FALSE))</f>
        <v/>
      </c>
      <c r="CB36" s="303"/>
      <c r="CC36" s="642"/>
      <c r="CD36" s="297"/>
      <c r="CE36" s="645"/>
      <c r="CF36" s="298"/>
      <c r="CG36" s="301" t="str">
        <f>IFERROR(ROUNDUP(CB36/VLOOKUP(BZ36,bhpc_data[],9,FALSE),0)+ROUNDUP(CD36/VLOOKUP(BZ36,bhpc_data[],9,FALSE),0),"")</f>
        <v/>
      </c>
      <c r="CH36" s="302" t="str">
        <f>IFERROR(ROUNDUP(CD36/VLOOKUP(BZ36,bhpc_data[],9,FALSE),0),"")</f>
        <v/>
      </c>
      <c r="CI36" s="302" t="str">
        <f>IFERROR(ROUNDUP(CF36/VLOOKUP(BZ36,bhpc_data[],9,FALSE),0),"")</f>
        <v/>
      </c>
      <c r="CJ36" s="302" t="str">
        <f>IFERROR(((CB36+CD36+CF36)/VLOOKUP(BZ36,bhpc_data[],9,FALSE))*VLOOKUP(BZ36,bhpc_data[],17,FALSE),"")</f>
        <v/>
      </c>
      <c r="CK36" s="302" t="str">
        <f>IFERROR(((CB36+CD36+CF36)/VLOOKUP(BZ36,bhpc_data[],9,FALSE))*VLOOKUP(BZ36,bhpc_data[],18,FALSE),"")</f>
        <v/>
      </c>
      <c r="CL36" s="346" t="str">
        <f>IFERROR((CB36+CD36)/VLOOKUP(BZ36,bhpc_data[],9,FALSE)*VLOOKUP(BZ36,bhpc_data[],14,FALSE)*VLOOKUP(BZ36,bhpc_data[],15,FALSE)*VLOOKUP(BZ36,bhpc_data[],16,FALSE)/1000000000,"")</f>
        <v/>
      </c>
      <c r="CM36" s="409" t="str">
        <f>IFERROR(VLOOKUP(BZ36,bhpc_data[],2,FALSE),"")</f>
        <v/>
      </c>
      <c r="CN36" s="409" t="str">
        <f>IFERROR(VLOOKUP(BZ36,bhpc_data[],19,FALSE),"")</f>
        <v/>
      </c>
      <c r="CO36" s="653" t="str">
        <f>IFERROR(VLOOKUP(BZ36,bhpc_data[],6,FALSE),"")</f>
        <v/>
      </c>
      <c r="CP36" s="654" t="str">
        <f>IFERROR(VLOOKUP(BZ36,inventory[],4,FALSE),"")</f>
        <v/>
      </c>
      <c r="CQ36" s="651" t="str">
        <f>IFERROR(IF(BZ36="","",IF($BX$15="SALE",VLOOKUP(BZ36,inventory[],5,FALSE),IF($BX$15="SAMPLING",VLOOKUP(BZ36,inventory[],5,FALSE),""))),"")</f>
        <v/>
      </c>
      <c r="CR36" s="652" t="str">
        <f>IFERROR(IF(BZ36="","",(CB36+CD36+CF36)*CQ36),"")</f>
        <v/>
      </c>
      <c r="CS36" s="557" t="str">
        <f>IF(BZ36="","",CB36*CC36+CD36*CE36)</f>
        <v/>
      </c>
      <c r="CU36" s="125"/>
      <c r="CV36" s="365" t="s">
        <v>1170</v>
      </c>
      <c r="CW36" s="624" t="s">
        <v>914</v>
      </c>
      <c r="CX36" s="291"/>
      <c r="CY36" s="553"/>
      <c r="CZ36" s="121"/>
      <c r="DA36" s="540" t="str">
        <f>IFERROR(VLOOKUP(BZ36,bhpc_data[],22,FALSE),"")</f>
        <v/>
      </c>
      <c r="DF36" s="206" t="s">
        <v>735</v>
      </c>
      <c r="EE36" s="453" t="s">
        <v>96</v>
      </c>
      <c r="EF36" s="447" t="str">
        <f>VLOOKUP(EE36,bhpc_data[],7,FALSE)</f>
        <v>BHPC GIFT SET SPORT MEN 8 EDT 100ML + DEO 175ML</v>
      </c>
      <c r="EG36" s="555">
        <f>IFERROR(VLOOKUP(EE36,inventory[],4,FALSE),0)</f>
        <v>60</v>
      </c>
      <c r="EH36" s="555">
        <f>IFERROR(VLOOKUP(warehouse[[#This Row],[SKU]],$EQ$10:$ES$38,3,FALSE),0)</f>
        <v>0</v>
      </c>
      <c r="EI36" s="555">
        <f>IFERROR(VLOOKUP(warehouse[[#This Row],[SKU]],$EM$10:$EO$61,3,FALSE),0)</f>
        <v>66</v>
      </c>
      <c r="EJ36" s="555">
        <f>warehouse[[#This Row],[T-1]]+warehouse[[#This Row],[SUPPLY]]-warehouse[[#This Row],[SALE + SAMPLING]]</f>
        <v>-6</v>
      </c>
      <c r="EK36" s="449"/>
      <c r="EM36" s="74" t="s">
        <v>117</v>
      </c>
      <c r="EN36" s="74" t="s">
        <v>118</v>
      </c>
      <c r="EO36" s="431">
        <v>3620</v>
      </c>
      <c r="EQ36" s="74" t="s">
        <v>197</v>
      </c>
      <c r="ER36" s="74" t="s">
        <v>198</v>
      </c>
      <c r="ES36" s="446">
        <v>6720</v>
      </c>
    </row>
    <row r="37" spans="6:149" ht="15" customHeight="1">
      <c r="F37" s="131"/>
      <c r="G37" s="162" t="s">
        <v>711</v>
      </c>
      <c r="H37" s="120"/>
      <c r="I37" s="162" t="s">
        <v>738</v>
      </c>
      <c r="J37" s="121"/>
      <c r="L37" s="274" t="str">
        <f t="array" ref="L37">IFERROR(IF($D$9="",IF($D$11="",IF($D$13="",INDEX(orderHistory[customer],SMALL(MATCH(ROW(orderHistory[customer]),ROW(orderHistory[customer])),ROWS($A$15:A42)+$B$3)),INDEX(orderHistory[customer],SMALL(IF(ISNUMBER(MATCH(orderHistory[order_type],$D$13,0)),MATCH(ROW(orderHistory[customer]),ROW(orderHistory[customer])),""),ROWS($A$15:A42)+$B$3))),IF($D$13="",INDEX(orderHistory[customer],SMALL(IF(ISNUMBER(MATCH(orderHistory[status],$D$11,0)),MATCH(ROW(orderHistory[customer]),ROW(orderHistory[customer])),""),ROWS($A$15:A42)+$B$3)),INDEX(orderHistory[customer],SMALL(IF(ISNUMBER(MATCH(orderHistory[status],$D$11,0)*MATCH(orderHistory[order_type],$D$13,0)),MATCH(ROW(orderHistory[customer]),ROW(orderHistory[customer])),""),ROWS($A$15:A42)+$B$3)))),IF($D$11="",IF($D$13="",INDEX(orderHistory[customer],SMALL(IF(ISNUMBER(MATCH(orderHistory[customer],$D$9,0)),MATCH(ROW(orderHistory[customer]),ROW(orderHistory[customer])),""),ROWS($A$15:A42)+$B$3)),INDEX(orderHistory[customer],SMALL(IF(ISNUMBER(MATCH(orderHistory[customer],$D$9,0)*MATCH(orderHistory[order_type],$D$13,0)),MATCH(ROW(orderHistory[customer]),ROW(orderHistory[customer])),""),ROWS($A$15:A42)+$B$3))),IF($D$13="",INDEX(orderHistory[customer],SMALL(IF(ISNUMBER(MATCH(orderHistory[customer],$D$9,0)*MATCH(orderHistory[status],$D$11,0)),MATCH(ROW(orderHistory[customer]),ROW(orderHistory[customer])),""),ROWS($A$15:A42)+$B$3)),INDEX(orderHistory[customer],SMALL(IF(ISNUMBER(MATCH(orderHistory[customer],$D$9,0)*MATCH(orderHistory[status],$D$11,0)*MATCH(orderHistory[order_type],$D$13,0)),MATCH(ROW(orderHistory[customer]),ROW(orderHistory[customer])),""),ROWS($A$15:A42)+$B$3))))),"")</f>
        <v/>
      </c>
      <c r="M37" s="391" t="str">
        <f t="array" ref="M37">IFERROR(IF($D$9="",IF($D$11="",IF($D$13="",INDEX(orderHistory[order_no],SMALL(MATCH(ROW(orderHistory[customer]),ROW(orderHistory[customer])),ROWS($A$15:A42)+$B$3)),INDEX(orderHistory[order_no],SMALL(IF(ISNUMBER(MATCH(orderHistory[order_type],$D$13,0)),MATCH(ROW(orderHistory[customer]),ROW(orderHistory[customer])),""),ROWS($A$15:A42)+$B$3))),IF($D$13="",INDEX(orderHistory[order_no],SMALL(IF(ISNUMBER(MATCH(orderHistory[status],$D$11,0)),MATCH(ROW(orderHistory[customer]),ROW(orderHistory[customer])),""),ROWS($A$15:A42)+$B$3)),INDEX(orderHistory[order_no],SMALL(IF(ISNUMBER(MATCH(orderHistory[status],$D$11,0)*MATCH(orderHistory[order_type],$D$13,0)),MATCH(ROW(orderHistory[customer]),ROW(orderHistory[customer])),""),ROWS($A$15:A42)+$B$3)))),IF($D$11="",IF($D$13="",INDEX(orderHistory[order_no],SMALL(IF(ISNUMBER(MATCH(orderHistory[customer],$D$9,0)),MATCH(ROW(orderHistory[customer]),ROW(orderHistory[customer])),""),ROWS($A$15:A42)+$B$3)),INDEX(orderHistory[order_no],SMALL(IF(ISNUMBER(MATCH(orderHistory[customer],$D$9,0)*MATCH(orderHistory[order_type],$D$13,0)),MATCH(ROW(orderHistory[customer]),ROW(orderHistory[customer])),""),ROWS($A$15:A42)+$B$3))),IF($D$13="",INDEX(orderHistory[order_no],SMALL(IF(ISNUMBER(MATCH(orderHistory[customer],$D$9,0)*MATCH(orderHistory[status],$D$11,0)),MATCH(ROW(orderHistory[customer]),ROW(orderHistory[customer])),""),ROWS($A$15:A42)+$B$3)),INDEX(orderHistory[order_no],SMALL(IF(ISNUMBER(MATCH(orderHistory[customer],$D$9,0)*MATCH(orderHistory[status],$D$11,0)*MATCH(orderHistory[order_type],$D$13,0)),MATCH(ROW(orderHistory[customer]),ROW(orderHistory[customer])),""),ROWS($A$15:A42)+$B$3))))),"")</f>
        <v/>
      </c>
      <c r="N37" s="386" t="str">
        <f t="array" ref="N37">IFERROR(IF($D$9="",IF($D$11="",IF($D$13="",INDEX(orderHistory[order_type],SMALL(MATCH(ROW(orderHistory[customer]),ROW(orderHistory[customer])),ROWS($A$15:A42)+$B$3)),INDEX(orderHistory[order_type],SMALL(IF(ISNUMBER(MATCH(orderHistory[order_type],$D$13,0)),MATCH(ROW(orderHistory[customer]),ROW(orderHistory[customer])),""),ROWS($A$15:A42)+$B$3))),IF($D$13="",INDEX(orderHistory[order_type],SMALL(IF(ISNUMBER(MATCH(orderHistory[status],$D$11,0)),MATCH(ROW(orderHistory[customer]),ROW(orderHistory[customer])),""),ROWS($A$15:A42)+$B$3)),INDEX(orderHistory[order_type],SMALL(IF(ISNUMBER(MATCH(orderHistory[status],$D$11,0)*MATCH(orderHistory[order_type],$D$13,0)),MATCH(ROW(orderHistory[customer]),ROW(orderHistory[customer])),""),ROWS($A$15:A42)+$B$3)))),IF($D$11="",IF($D$13="",INDEX(orderHistory[order_type],SMALL(IF(ISNUMBER(MATCH(orderHistory[customer],$D$9,0)),MATCH(ROW(orderHistory[customer]),ROW(orderHistory[customer])),""),ROWS($A$15:A42)+$B$3)),INDEX(orderHistory[order_type],SMALL(IF(ISNUMBER(MATCH(orderHistory[customer],$D$9,0)*MATCH(orderHistory[order_type],$D$13,0)),MATCH(ROW(orderHistory[customer]),ROW(orderHistory[customer])),""),ROWS($A$15:A42)+$B$3))),IF($D$13="",INDEX(orderHistory[order_type],SMALL(IF(ISNUMBER(MATCH(orderHistory[customer],$D$9,0)*MATCH(orderHistory[status],$D$11,0)),MATCH(ROW(orderHistory[customer]),ROW(orderHistory[customer])),""),ROWS($A$15:A42)+$B$3)),INDEX(orderHistory[order_type],SMALL(IF(ISNUMBER(MATCH(orderHistory[customer],$D$9,0)*MATCH(orderHistory[status],$D$11,0)*MATCH(orderHistory[order_type],$D$13,0)),MATCH(ROW(orderHistory[customer]),ROW(orderHistory[customer])),""),ROWS($A$15:A42)+$B$3))))),"")</f>
        <v/>
      </c>
      <c r="O37" s="275" t="str">
        <f t="array" ref="O37">IFERROR(IF($D$9="",IF($D$11="",IF($D$13="",INDEX(orderHistory[order_date],SMALL(MATCH(ROW(orderHistory[customer]),ROW(orderHistory[customer])),ROWS($A$15:A42)+$B$3)),INDEX(orderHistory[order_date],SMALL(IF(ISNUMBER(MATCH(orderHistory[order_type],$D$13,0)),MATCH(ROW(orderHistory[customer]),ROW(orderHistory[customer])),""),ROWS($A$15:A42)+$B$3))),IF($D$13="",INDEX(orderHistory[order_date],SMALL(IF(ISNUMBER(MATCH(orderHistory[status],$D$11,0)),MATCH(ROW(orderHistory[customer]),ROW(orderHistory[customer])),""),ROWS($A$15:A42)+$B$3)),INDEX(orderHistory[order_date],SMALL(IF(ISNUMBER(MATCH(orderHistory[status],$D$11,0)*MATCH(orderHistory[order_type],$D$13,0)),MATCH(ROW(orderHistory[customer]),ROW(orderHistory[customer])),""),ROWS($A$15:A42)+$B$3)))),IF($D$11="",IF($D$13="",INDEX(orderHistory[order_date],SMALL(IF(ISNUMBER(MATCH(orderHistory[customer],$D$9,0)),MATCH(ROW(orderHistory[customer]),ROW(orderHistory[customer])),""),ROWS($A$15:A42)+$B$3)),INDEX(orderHistory[order_date],SMALL(IF(ISNUMBER(MATCH(orderHistory[customer],$D$9,0)*MATCH(orderHistory[order_type],$D$13,0)),MATCH(ROW(orderHistory[customer]),ROW(orderHistory[customer])),""),ROWS($A$15:A42)+$B$3))),IF($D$13="",INDEX(orderHistory[order_date],SMALL(IF(ISNUMBER(MATCH(orderHistory[customer],$D$9,0)*MATCH(orderHistory[status],$D$11,0)),MATCH(ROW(orderHistory[customer]),ROW(orderHistory[customer])),""),ROWS($A$15:A42)+$B$3)),INDEX(orderHistory[order_date],SMALL(IF(ISNUMBER(MATCH(orderHistory[customer],$D$9,0)*MATCH(orderHistory[status],$D$11,0)*MATCH(orderHistory[order_type],$D$13,0)),MATCH(ROW(orderHistory[customer]),ROW(orderHistory[customer])),""),ROWS($A$15:A42)+$B$3))))),"")</f>
        <v/>
      </c>
      <c r="P37" s="379" t="str">
        <f t="array" ref="P37">IF(IFERROR(IF($D$9="",IF($D$11="",IF($D$13="",INDEX(orderHistory[invoice_no],SMALL(MATCH(ROW(orderHistory[customer]),ROW(orderHistory[customer])),ROWS($A$15:A42)+$B$3)),INDEX(orderHistory[invoice_no],SMALL(IF(ISNUMBER(MATCH(orderHistory[order_type],$D$13,0)),MATCH(ROW(orderHistory[customer]),ROW(orderHistory[customer])),""),ROWS($A$15:A42)+$B$3))),IF($D$13="",INDEX(orderHistory[invoice_no],SMALL(IF(ISNUMBER(MATCH(orderHistory[status],$D$11,0)),MATCH(ROW(orderHistory[customer]),ROW(orderHistory[customer])),""),ROWS($A$15:A42)+$B$3)),INDEX(orderHistory[invoice_no],SMALL(IF(ISNUMBER(MATCH(orderHistory[status],$D$11,0)*MATCH(orderHistory[order_type],$D$13,0)),MATCH(ROW(orderHistory[customer]),ROW(orderHistory[customer])),""),ROWS($A$15:A42)+$B$3)))),IF($D$11="",IF($D$13="",INDEX(orderHistory[invoice_no],SMALL(IF(ISNUMBER(MATCH(orderHistory[customer],$D$9,0)),MATCH(ROW(orderHistory[customer]),ROW(orderHistory[customer])),""),ROWS($A$15:A42)+$B$3)),INDEX(orderHistory[invoice_no],SMALL(IF(ISNUMBER(MATCH(orderHistory[customer],$D$9,0)*MATCH(orderHistory[order_type],$D$13,0)),MATCH(ROW(orderHistory[customer]),ROW(orderHistory[customer])),""),ROWS($A$15:A42)+$B$3))),IF($D$13="",INDEX(orderHistory[invoice_no],SMALL(IF(ISNUMBER(MATCH(orderHistory[customer],$D$9,0)*MATCH(orderHistory[status],$D$11,0)),MATCH(ROW(orderHistory[customer]),ROW(orderHistory[customer])),""),ROWS($A$15:A42)+$B$3)),INDEX(orderHistory[invoice_no],SMALL(IF(ISNUMBER(MATCH(orderHistory[customer],$D$9,0)*MATCH(orderHistory[status],$D$11,0)*MATCH(orderHistory[order_type],$D$13,0)),MATCH(ROW(orderHistory[customer]),ROW(orderHistory[customer])),""),ROWS($A$15:A42)+$B$3))))),"")=0,"",IFERROR(IF($D$9="",IF($D$11="",IF($D$13="",INDEX(orderHistory[invoice_no],SMALL(MATCH(ROW(orderHistory[customer]),ROW(orderHistory[customer])),ROWS($A$15:A42)+$B$3)),INDEX(orderHistory[invoice_no],SMALL(IF(ISNUMBER(MATCH(orderHistory[order_type],$D$13,0)),MATCH(ROW(orderHistory[customer]),ROW(orderHistory[customer])),""),ROWS($A$15:A42)+$B$3))),IF($D$13="",INDEX(orderHistory[invoice_no],SMALL(IF(ISNUMBER(MATCH(orderHistory[status],$D$11,0)),MATCH(ROW(orderHistory[customer]),ROW(orderHistory[customer])),""),ROWS($A$15:A42)+$B$3)),INDEX(orderHistory[invoice_no],SMALL(IF(ISNUMBER(MATCH(orderHistory[status],$D$11,0)*MATCH(orderHistory[order_type],$D$13,0)),MATCH(ROW(orderHistory[customer]),ROW(orderHistory[customer])),""),ROWS($A$15:A42)+$B$3)))),IF($D$11="",IF($D$13="",INDEX(orderHistory[invoice_no],SMALL(IF(ISNUMBER(MATCH(orderHistory[customer],$D$9,0)),MATCH(ROW(orderHistory[customer]),ROW(orderHistory[customer])),""),ROWS($A$15:A42)+$B$3)),INDEX(orderHistory[invoice_no],SMALL(IF(ISNUMBER(MATCH(orderHistory[customer],$D$9,0)*MATCH(orderHistory[order_type],$D$13,0)),MATCH(ROW(orderHistory[customer]),ROW(orderHistory[customer])),""),ROWS($A$15:A42)+$B$3))),IF($D$13="",INDEX(orderHistory[invoice_no],SMALL(IF(ISNUMBER(MATCH(orderHistory[customer],$D$9,0)*MATCH(orderHistory[status],$D$11,0)),MATCH(ROW(orderHistory[customer]),ROW(orderHistory[customer])),""),ROWS($A$15:A42)+$B$3)),INDEX(orderHistory[invoice_no],SMALL(IF(ISNUMBER(MATCH(orderHistory[customer],$D$9,0)*MATCH(orderHistory[status],$D$11,0)*MATCH(orderHistory[order_type],$D$13,0)),MATCH(ROW(orderHistory[customer]),ROW(orderHistory[customer])),""),ROWS($A$15:A42)+$B$3))))),""))</f>
        <v/>
      </c>
      <c r="Q37" s="381" t="str">
        <f t="array" ref="Q37">IF(IFERROR(IF($D$9="",IF($D$11="",IF($D$13="",INDEX(orderHistory[invoice_date],SMALL(MATCH(ROW(orderHistory[customer]),ROW(orderHistory[customer])),ROWS($A$15:A42)+$B$3)),INDEX(orderHistory[invoice_date],SMALL(IF(ISNUMBER(MATCH(orderHistory[order_type],$D$13,0)),MATCH(ROW(orderHistory[customer]),ROW(orderHistory[customer])),""),ROWS($A$15:A42)+$B$3))),IF($D$13="",INDEX(orderHistory[invoice_date],SMALL(IF(ISNUMBER(MATCH(orderHistory[status],$D$11,0)),MATCH(ROW(orderHistory[customer]),ROW(orderHistory[customer])),""),ROWS($A$15:A42)+$B$3)),INDEX(orderHistory[invoice_date],SMALL(IF(ISNUMBER(MATCH(orderHistory[status],$D$11,0)*MATCH(orderHistory[order_type],$D$13,0)),MATCH(ROW(orderHistory[customer]),ROW(orderHistory[customer])),""),ROWS($A$15:A42)+$B$3)))),IF($D$11="",IF($D$13="",INDEX(orderHistory[invoice_date],SMALL(IF(ISNUMBER(MATCH(orderHistory[customer],$D$9,0)),MATCH(ROW(orderHistory[customer]),ROW(orderHistory[customer])),""),ROWS($A$15:A42)+$B$3)),INDEX(orderHistory[invoice_date],SMALL(IF(ISNUMBER(MATCH(orderHistory[customer],$D$9,0)*MATCH(orderHistory[order_type],$D$13,0)),MATCH(ROW(orderHistory[customer]),ROW(orderHistory[customer])),""),ROWS($A$15:A42)+$B$3))),IF($D$13="",INDEX(orderHistory[invoice_date],SMALL(IF(ISNUMBER(MATCH(orderHistory[customer],$D$9,0)*MATCH(orderHistory[status],$D$11,0)),MATCH(ROW(orderHistory[customer]),ROW(orderHistory[customer])),""),ROWS($A$15:A42)+$B$3)),INDEX(orderHistory[invoice_date],SMALL(IF(ISNUMBER(MATCH(orderHistory[customer],$D$9,0)*MATCH(orderHistory[status],$D$11,0)*MATCH(orderHistory[order_type],$D$13,0)),MATCH(ROW(orderHistory[customer]),ROW(orderHistory[customer])),""),ROWS($A$15:A42)+$B$3))))),"")=0,"",IFERROR(IF($D$9="",IF($D$11="",IF($D$13="",INDEX(orderHistory[invoice_date],SMALL(MATCH(ROW(orderHistory[customer]),ROW(orderHistory[customer])),ROWS($A$15:A42)+$B$3)),INDEX(orderHistory[invoice_date],SMALL(IF(ISNUMBER(MATCH(orderHistory[order_type],$D$13,0)),MATCH(ROW(orderHistory[customer]),ROW(orderHistory[customer])),""),ROWS($A$15:A42)+$B$3))),IF($D$13="",INDEX(orderHistory[invoice_date],SMALL(IF(ISNUMBER(MATCH(orderHistory[status],$D$11,0)),MATCH(ROW(orderHistory[customer]),ROW(orderHistory[customer])),""),ROWS($A$15:A42)+$B$3)),INDEX(orderHistory[invoice_date],SMALL(IF(ISNUMBER(MATCH(orderHistory[status],$D$11,0)*MATCH(orderHistory[order_type],$D$13,0)),MATCH(ROW(orderHistory[customer]),ROW(orderHistory[customer])),""),ROWS($A$15:A42)+$B$3)))),IF($D$11="",IF($D$13="",INDEX(orderHistory[invoice_date],SMALL(IF(ISNUMBER(MATCH(orderHistory[customer],$D$9,0)),MATCH(ROW(orderHistory[customer]),ROW(orderHistory[customer])),""),ROWS($A$15:A42)+$B$3)),INDEX(orderHistory[invoice_date],SMALL(IF(ISNUMBER(MATCH(orderHistory[customer],$D$9,0)*MATCH(orderHistory[order_type],$D$13,0)),MATCH(ROW(orderHistory[customer]),ROW(orderHistory[customer])),""),ROWS($A$15:A42)+$B$3))),IF($D$13="",INDEX(orderHistory[invoice_date],SMALL(IF(ISNUMBER(MATCH(orderHistory[customer],$D$9,0)*MATCH(orderHistory[status],$D$11,0)),MATCH(ROW(orderHistory[customer]),ROW(orderHistory[customer])),""),ROWS($A$15:A42)+$B$3)),INDEX(orderHistory[invoice_date],SMALL(IF(ISNUMBER(MATCH(orderHistory[customer],$D$9,0)*MATCH(orderHistory[status],$D$11,0)*MATCH(orderHistory[order_type],$D$13,0)),MATCH(ROW(orderHistory[customer]),ROW(orderHistory[customer])),""),ROWS($A$15:A42)+$B$3))))),""))</f>
        <v/>
      </c>
      <c r="R37" s="377" t="str">
        <f t="array" ref="R37">IFERROR(IF($D$9="",IF($D$11="",IF($D$13="",INDEX(orderHistory[inv_amount],SMALL(MATCH(ROW(orderHistory[customer]),ROW(orderHistory[customer])),ROWS($A$15:A42)+$B$3)),INDEX(orderHistory[inv_amount],SMALL(IF(ISNUMBER(MATCH(orderHistory[order_type],$D$13,0)),MATCH(ROW(orderHistory[customer]),ROW(orderHistory[customer])),""),ROWS($A$15:A42)+$B$3))),IF($D$13="",INDEX(orderHistory[inv_amount],SMALL(IF(ISNUMBER(MATCH(orderHistory[status],$D$11,0)),MATCH(ROW(orderHistory[customer]),ROW(orderHistory[customer])),""),ROWS($A$15:A42)+$B$3)),INDEX(orderHistory[inv_amount],SMALL(IF(ISNUMBER(MATCH(orderHistory[status],$D$11,0)*MATCH(orderHistory[order_type],$D$13,0)),MATCH(ROW(orderHistory[customer]),ROW(orderHistory[customer])),""),ROWS($A$15:A42)+$B$3)))),IF($D$11="",IF($D$13="",INDEX(orderHistory[inv_amount],SMALL(IF(ISNUMBER(MATCH(orderHistory[customer],$D$9,0)),MATCH(ROW(orderHistory[customer]),ROW(orderHistory[customer])),""),ROWS($A$15:A42)+$B$3)),INDEX(orderHistory[inv_amount],SMALL(IF(ISNUMBER(MATCH(orderHistory[customer],$D$9,0)*MATCH(orderHistory[order_type],$D$13,0)),MATCH(ROW(orderHistory[customer]),ROW(orderHistory[customer])),""),ROWS($A$15:A42)+$B$3))),IF($D$13="",INDEX(orderHistory[inv_amount],SMALL(IF(ISNUMBER(MATCH(orderHistory[customer],$D$9,0)*MATCH(orderHistory[status],$D$11,0)),MATCH(ROW(orderHistory[customer]),ROW(orderHistory[customer])),""),ROWS($A$15:A42)+$B$3)),INDEX(orderHistory[inv_amount],SMALL(IF(ISNUMBER(MATCH(orderHistory[customer],$D$9,0)*MATCH(orderHistory[status],$D$11,0)*MATCH(orderHistory[order_type],$D$13,0)),MATCH(ROW(orderHistory[customer]),ROW(orderHistory[customer])),""),ROWS($A$15:A42)+$B$3))))),"")</f>
        <v/>
      </c>
      <c r="S37" s="383" t="str">
        <f t="shared" si="0"/>
        <v/>
      </c>
      <c r="T37" s="385" t="str">
        <f t="array" ref="T37">IFERROR(IF($D$9="",IF($D$11="",IF($D$13="",INDEX(orderHistory[payed],SMALL(MATCH(ROW(orderHistory[customer]),ROW(orderHistory[customer])),ROWS($A$15:A42)+$B$3)),INDEX(orderHistory[payed],SMALL(IF(ISNUMBER(MATCH(orderHistory[order_type],$D$13,0)),MATCH(ROW(orderHistory[customer]),ROW(orderHistory[customer])),""),ROWS($A$15:A42)+$B$3))),IF($D$13="",INDEX(orderHistory[payed],SMALL(IF(ISNUMBER(MATCH(orderHistory[status],$D$11,0)),MATCH(ROW(orderHistory[customer]),ROW(orderHistory[customer])),""),ROWS($A$15:A42)+$B$3)),INDEX(orderHistory[payed],SMALL(IF(ISNUMBER(MATCH(orderHistory[status],$D$11,0)*MATCH(orderHistory[order_type],$D$13,0)),MATCH(ROW(orderHistory[customer]),ROW(orderHistory[customer])),""),ROWS($A$15:A42)+$B$3)))),IF($D$11="",IF($D$13="",INDEX(orderHistory[payed],SMALL(IF(ISNUMBER(MATCH(orderHistory[customer],$D$9,0)),MATCH(ROW(orderHistory[customer]),ROW(orderHistory[customer])),""),ROWS($A$15:A42)+$B$3)),INDEX(orderHistory[payed],SMALL(IF(ISNUMBER(MATCH(orderHistory[customer],$D$9,0)*MATCH(orderHistory[order_type],$D$13,0)),MATCH(ROW(orderHistory[customer]),ROW(orderHistory[customer])),""),ROWS($A$15:A42)+$B$3))),IF($D$13="",INDEX(orderHistory[payed],SMALL(IF(ISNUMBER(MATCH(orderHistory[customer],$D$9,0)*MATCH(orderHistory[status],$D$11,0)),MATCH(ROW(orderHistory[customer]),ROW(orderHistory[customer])),""),ROWS($A$15:A42)+$B$3)),INDEX(orderHistory[payed],SMALL(IF(ISNUMBER(MATCH(orderHistory[customer],$D$9,0)*MATCH(orderHistory[status],$D$11,0)*MATCH(orderHistory[order_type],$D$13,0)),MATCH(ROW(orderHistory[customer]),ROW(orderHistory[customer])),""),ROWS($A$15:A42)+$B$3))))),"")</f>
        <v/>
      </c>
      <c r="U37" s="386" t="str">
        <f t="array" ref="U37">IFERROR(IF($D$9="",IF($D$11="",IF($D$13="",INDEX(orderHistory[shipping_method],SMALL(MATCH(ROW(orderHistory[customer]),ROW(orderHistory[customer])),ROWS($A$15:A42)+$B$3)),INDEX(orderHistory[shipping_method],SMALL(IF(ISNUMBER(MATCH(orderHistory[order_type],$D$13,0)),MATCH(ROW(orderHistory[customer]),ROW(orderHistory[customer])),""),ROWS($A$15:A42)+$B$3))),IF($D$13="",INDEX(orderHistory[shipping_method],SMALL(IF(ISNUMBER(MATCH(orderHistory[status],$D$11,0)),MATCH(ROW(orderHistory[customer]),ROW(orderHistory[customer])),""),ROWS($A$15:A42)+$B$3)),INDEX(orderHistory[shipping_method],SMALL(IF(ISNUMBER(MATCH(orderHistory[status],$D$11,0)*MATCH(orderHistory[order_type],$D$13,0)),MATCH(ROW(orderHistory[customer]),ROW(orderHistory[customer])),""),ROWS($A$15:A42)+$B$3)))),IF($D$11="",IF($D$13="",INDEX(orderHistory[shipping_method],SMALL(IF(ISNUMBER(MATCH(orderHistory[customer],$D$9,0)),MATCH(ROW(orderHistory[customer]),ROW(orderHistory[customer])),""),ROWS($A$15:A42)+$B$3)),INDEX(orderHistory[shipping_method],SMALL(IF(ISNUMBER(MATCH(orderHistory[customer],$D$9,0)*MATCH(orderHistory[order_type],$D$13,0)),MATCH(ROW(orderHistory[customer]),ROW(orderHistory[customer])),""),ROWS($A$15:A42)+$B$3))),IF($D$13="",INDEX(orderHistory[shipping_method],SMALL(IF(ISNUMBER(MATCH(orderHistory[customer],$D$9,0)*MATCH(orderHistory[status],$D$11,0)),MATCH(ROW(orderHistory[customer]),ROW(orderHistory[customer])),""),ROWS($A$15:A42)+$B$3)),INDEX(orderHistory[shipping_method],SMALL(IF(ISNUMBER(MATCH(orderHistory[customer],$D$9,0)*MATCH(orderHistory[status],$D$11,0)*MATCH(orderHistory[order_type],$D$13,0)),MATCH(ROW(orderHistory[customer]),ROW(orderHistory[customer])),""),ROWS($A$15:A42)+$B$3))))),"")</f>
        <v/>
      </c>
      <c r="V37" s="387" t="str">
        <f t="array" ref="V37">IFERROR(IF($D$9="",IF($D$11="",IF($D$13="",INDEX(orderHistory[status],SMALL(MATCH(ROW(orderHistory[customer]),ROW(orderHistory[customer])),ROWS($A$15:A42)+$B$3)),INDEX(orderHistory[status],SMALL(IF(ISNUMBER(MATCH(orderHistory[order_type],$D$13,0)),MATCH(ROW(orderHistory[customer]),ROW(orderHistory[customer])),""),ROWS($A$15:A42)+$B$3))),IF($D$13="",INDEX(orderHistory[status],SMALL(IF(ISNUMBER(MATCH(orderHistory[status],$D$11,0)),MATCH(ROW(orderHistory[customer]),ROW(orderHistory[customer])),""),ROWS($A$15:A42)+$B$3)),INDEX(orderHistory[status],SMALL(IF(ISNUMBER(MATCH(orderHistory[status],$D$11,0)*MATCH(orderHistory[order_type],$D$13,0)),MATCH(ROW(orderHistory[customer]),ROW(orderHistory[customer])),""),ROWS($A$15:A42)+$B$3)))),IF($D$11="",IF($D$13="",INDEX(orderHistory[status],SMALL(IF(ISNUMBER(MATCH(orderHistory[customer],$D$9,0)),MATCH(ROW(orderHistory[customer]),ROW(orderHistory[customer])),""),ROWS($A$15:A42)+$B$3)),INDEX(orderHistory[status],SMALL(IF(ISNUMBER(MATCH(orderHistory[customer],$D$9,0)*MATCH(orderHistory[order_type],$D$13,0)),MATCH(ROW(orderHistory[customer]),ROW(orderHistory[customer])),""),ROWS($A$15:A42)+$B$3))),IF($D$13="",INDEX(orderHistory[status],SMALL(IF(ISNUMBER(MATCH(orderHistory[customer],$D$9,0)*MATCH(orderHistory[status],$D$11,0)),MATCH(ROW(orderHistory[customer]),ROW(orderHistory[customer])),""),ROWS($A$15:A42)+$B$3)),INDEX(orderHistory[status],SMALL(IF(ISNUMBER(MATCH(orderHistory[customer],$D$9,0)*MATCH(orderHistory[status],$D$11,0)*MATCH(orderHistory[order_type],$D$13,0)),MATCH(ROW(orderHistory[customer]),ROW(orderHistory[customer])),""),ROWS($A$15:A42)+$B$3))))),"")</f>
        <v/>
      </c>
      <c r="W37" s="187"/>
      <c r="AQ37" s="124"/>
      <c r="AR37" s="134"/>
      <c r="AS37" s="120"/>
      <c r="AT37" s="120"/>
      <c r="AU37" s="121"/>
      <c r="AW37" s="131"/>
      <c r="AX37" s="120"/>
      <c r="AY37" s="120"/>
      <c r="AZ37" s="120"/>
      <c r="BA37" s="120"/>
      <c r="BB37" s="120"/>
      <c r="BC37" s="120"/>
      <c r="BD37" s="120"/>
      <c r="BE37" s="120"/>
      <c r="BF37" s="120"/>
      <c r="BG37" s="175"/>
      <c r="BH37" s="120"/>
      <c r="BI37" s="291"/>
      <c r="BJ37" s="121"/>
      <c r="BK37" s="146"/>
      <c r="BL37" s="147"/>
      <c r="BM37" s="148"/>
      <c r="BN37" s="147"/>
      <c r="BO37" s="148"/>
      <c r="BZ37" s="304"/>
      <c r="CA37" s="270" t="str">
        <f>IF(BZ37="","",VLOOKUP(BZ37,bhpc_data[],7,FALSE))</f>
        <v/>
      </c>
      <c r="CB37" s="303"/>
      <c r="CC37" s="642"/>
      <c r="CD37" s="297"/>
      <c r="CE37" s="645"/>
      <c r="CF37" s="298"/>
      <c r="CG37" s="301" t="str">
        <f>IFERROR(ROUNDUP(CB37/VLOOKUP(BZ37,bhpc_data[],9,FALSE),0)+ROUNDUP(CD37/VLOOKUP(BZ37,bhpc_data[],9,FALSE),0),"")</f>
        <v/>
      </c>
      <c r="CH37" s="302" t="str">
        <f>IFERROR(ROUNDUP(CD37/VLOOKUP(BZ37,bhpc_data[],9,FALSE),0),"")</f>
        <v/>
      </c>
      <c r="CI37" s="302" t="str">
        <f>IFERROR(ROUNDUP(CF37/VLOOKUP(BZ37,bhpc_data[],9,FALSE),0),"")</f>
        <v/>
      </c>
      <c r="CJ37" s="302" t="str">
        <f>IFERROR(((CB37+CD37+CF37)/VLOOKUP(BZ37,bhpc_data[],9,FALSE))*VLOOKUP(BZ37,bhpc_data[],17,FALSE),"")</f>
        <v/>
      </c>
      <c r="CK37" s="302" t="str">
        <f>IFERROR(((CB37+CD37+CF37)/VLOOKUP(BZ37,bhpc_data[],9,FALSE))*VLOOKUP(BZ37,bhpc_data[],18,FALSE),"")</f>
        <v/>
      </c>
      <c r="CL37" s="346" t="str">
        <f>IFERROR((CB37+CD37)/VLOOKUP(BZ37,bhpc_data[],9,FALSE)*VLOOKUP(BZ37,bhpc_data[],14,FALSE)*VLOOKUP(BZ37,bhpc_data[],15,FALSE)*VLOOKUP(BZ37,bhpc_data[],16,FALSE)/1000000000,"")</f>
        <v/>
      </c>
      <c r="CM37" s="409" t="str">
        <f>IFERROR(VLOOKUP(BZ37,bhpc_data[],2,FALSE),"")</f>
        <v/>
      </c>
      <c r="CN37" s="409" t="str">
        <f>IFERROR(VLOOKUP(BZ37,bhpc_data[],19,FALSE),"")</f>
        <v/>
      </c>
      <c r="CO37" s="653" t="str">
        <f>IFERROR(VLOOKUP(BZ37,bhpc_data[],6,FALSE),"")</f>
        <v/>
      </c>
      <c r="CP37" s="654" t="str">
        <f>IFERROR(VLOOKUP(BZ37,inventory[],4,FALSE),"")</f>
        <v/>
      </c>
      <c r="CQ37" s="651" t="str">
        <f>IFERROR(IF(BZ37="","",IF($BX$15="SALE",VLOOKUP(BZ37,inventory[],5,FALSE),IF($BX$15="SAMPLING",VLOOKUP(BZ37,inventory[],5,FALSE),""))),"")</f>
        <v/>
      </c>
      <c r="CR37" s="652" t="str">
        <f>IFERROR(IF(BZ37="","",(CB37+CD37+CF37)*CQ37),"")</f>
        <v/>
      </c>
      <c r="CS37" s="557" t="str">
        <f>IF(BZ37="","",CB37*CC37+CD37*CE37)</f>
        <v/>
      </c>
      <c r="CU37" s="125"/>
      <c r="CV37" s="291"/>
      <c r="CW37" s="291"/>
      <c r="CX37" s="553"/>
      <c r="CY37" s="553"/>
      <c r="CZ37" s="121"/>
      <c r="DA37" s="540" t="str">
        <f>IFERROR(VLOOKUP(BZ37,bhpc_data[],22,FALSE),"")</f>
        <v/>
      </c>
      <c r="DF37" s="169"/>
      <c r="DG37" s="118"/>
      <c r="DH37" s="161"/>
      <c r="DI37" s="118"/>
      <c r="DJ37" s="118"/>
      <c r="DK37" s="118"/>
      <c r="DL37" s="118"/>
      <c r="DM37" s="118"/>
      <c r="DN37" s="118"/>
      <c r="DO37" s="118"/>
      <c r="DP37" s="118"/>
      <c r="DQ37" s="118"/>
      <c r="DR37" s="118"/>
      <c r="DS37" s="118"/>
      <c r="DT37" s="118"/>
      <c r="DU37" s="118"/>
      <c r="DV37" s="119"/>
      <c r="EE37" s="453" t="s">
        <v>98</v>
      </c>
      <c r="EF37" s="447" t="str">
        <f>VLOOKUP(EE37,bhpc_data[],7,FALSE)</f>
        <v>BHPC GIFT SET SPORT MEN 2 EDT 100ML + DEO 175ML</v>
      </c>
      <c r="EG37" s="555">
        <f>IFERROR(VLOOKUP(EE37,inventory[],4,FALSE),0)</f>
        <v>250</v>
      </c>
      <c r="EH37" s="555">
        <f>IFERROR(VLOOKUP(warehouse[[#This Row],[SKU]],$EQ$10:$ES$38,3,FALSE),0)</f>
        <v>0</v>
      </c>
      <c r="EI37" s="555">
        <f>IFERROR(VLOOKUP(warehouse[[#This Row],[SKU]],$EM$10:$EO$61,3,FALSE),0)</f>
        <v>256</v>
      </c>
      <c r="EJ37" s="555">
        <f>warehouse[[#This Row],[T-1]]+warehouse[[#This Row],[SUPPLY]]-warehouse[[#This Row],[SALE + SAMPLING]]</f>
        <v>-6</v>
      </c>
      <c r="EK37" s="449"/>
      <c r="EM37" s="74" t="s">
        <v>176</v>
      </c>
      <c r="EN37" s="74" t="s">
        <v>177</v>
      </c>
      <c r="EO37" s="431">
        <v>10728</v>
      </c>
      <c r="EQ37" s="74" t="s">
        <v>165</v>
      </c>
      <c r="ER37" s="74" t="s">
        <v>166</v>
      </c>
      <c r="ES37" s="446">
        <v>1128</v>
      </c>
    </row>
    <row r="38" spans="6:149" ht="15" customHeight="1">
      <c r="F38" s="131"/>
      <c r="G38" s="585">
        <f>VLOOKUP($B$4,orderHistory[],28,FALSE)</f>
        <v>6000</v>
      </c>
      <c r="H38" s="120"/>
      <c r="I38" s="584">
        <f>VLOOKUP($B$4,orderHistory[],27,FALSE)*7%</f>
        <v>3570.0000000000005</v>
      </c>
      <c r="J38" s="121"/>
      <c r="L38" s="274" t="str">
        <f t="array" ref="L38">IFERROR(IF($D$9="",IF($D$11="",IF($D$13="",INDEX(orderHistory[customer],SMALL(MATCH(ROW(orderHistory[customer]),ROW(orderHistory[customer])),ROWS($A$15:A43)+$B$3)),INDEX(orderHistory[customer],SMALL(IF(ISNUMBER(MATCH(orderHistory[order_type],$D$13,0)),MATCH(ROW(orderHistory[customer]),ROW(orderHistory[customer])),""),ROWS($A$15:A43)+$B$3))),IF($D$13="",INDEX(orderHistory[customer],SMALL(IF(ISNUMBER(MATCH(orderHistory[status],$D$11,0)),MATCH(ROW(orderHistory[customer]),ROW(orderHistory[customer])),""),ROWS($A$15:A43)+$B$3)),INDEX(orderHistory[customer],SMALL(IF(ISNUMBER(MATCH(orderHistory[status],$D$11,0)*MATCH(orderHistory[order_type],$D$13,0)),MATCH(ROW(orderHistory[customer]),ROW(orderHistory[customer])),""),ROWS($A$15:A43)+$B$3)))),IF($D$11="",IF($D$13="",INDEX(orderHistory[customer],SMALL(IF(ISNUMBER(MATCH(orderHistory[customer],$D$9,0)),MATCH(ROW(orderHistory[customer]),ROW(orderHistory[customer])),""),ROWS($A$15:A43)+$B$3)),INDEX(orderHistory[customer],SMALL(IF(ISNUMBER(MATCH(orderHistory[customer],$D$9,0)*MATCH(orderHistory[order_type],$D$13,0)),MATCH(ROW(orderHistory[customer]),ROW(orderHistory[customer])),""),ROWS($A$15:A43)+$B$3))),IF($D$13="",INDEX(orderHistory[customer],SMALL(IF(ISNUMBER(MATCH(orderHistory[customer],$D$9,0)*MATCH(orderHistory[status],$D$11,0)),MATCH(ROW(orderHistory[customer]),ROW(orderHistory[customer])),""),ROWS($A$15:A43)+$B$3)),INDEX(orderHistory[customer],SMALL(IF(ISNUMBER(MATCH(orderHistory[customer],$D$9,0)*MATCH(orderHistory[status],$D$11,0)*MATCH(orderHistory[order_type],$D$13,0)),MATCH(ROW(orderHistory[customer]),ROW(orderHistory[customer])),""),ROWS($A$15:A43)+$B$3))))),"")</f>
        <v/>
      </c>
      <c r="M38" s="391" t="str">
        <f t="array" ref="M38">IFERROR(IF($D$9="",IF($D$11="",IF($D$13="",INDEX(orderHistory[order_no],SMALL(MATCH(ROW(orderHistory[customer]),ROW(orderHistory[customer])),ROWS($A$15:A43)+$B$3)),INDEX(orderHistory[order_no],SMALL(IF(ISNUMBER(MATCH(orderHistory[order_type],$D$13,0)),MATCH(ROW(orderHistory[customer]),ROW(orderHistory[customer])),""),ROWS($A$15:A43)+$B$3))),IF($D$13="",INDEX(orderHistory[order_no],SMALL(IF(ISNUMBER(MATCH(orderHistory[status],$D$11,0)),MATCH(ROW(orderHistory[customer]),ROW(orderHistory[customer])),""),ROWS($A$15:A43)+$B$3)),INDEX(orderHistory[order_no],SMALL(IF(ISNUMBER(MATCH(orderHistory[status],$D$11,0)*MATCH(orderHistory[order_type],$D$13,0)),MATCH(ROW(orderHistory[customer]),ROW(orderHistory[customer])),""),ROWS($A$15:A43)+$B$3)))),IF($D$11="",IF($D$13="",INDEX(orderHistory[order_no],SMALL(IF(ISNUMBER(MATCH(orderHistory[customer],$D$9,0)),MATCH(ROW(orderHistory[customer]),ROW(orderHistory[customer])),""),ROWS($A$15:A43)+$B$3)),INDEX(orderHistory[order_no],SMALL(IF(ISNUMBER(MATCH(orderHistory[customer],$D$9,0)*MATCH(orderHistory[order_type],$D$13,0)),MATCH(ROW(orderHistory[customer]),ROW(orderHistory[customer])),""),ROWS($A$15:A43)+$B$3))),IF($D$13="",INDEX(orderHistory[order_no],SMALL(IF(ISNUMBER(MATCH(orderHistory[customer],$D$9,0)*MATCH(orderHistory[status],$D$11,0)),MATCH(ROW(orderHistory[customer]),ROW(orderHistory[customer])),""),ROWS($A$15:A43)+$B$3)),INDEX(orderHistory[order_no],SMALL(IF(ISNUMBER(MATCH(orderHistory[customer],$D$9,0)*MATCH(orderHistory[status],$D$11,0)*MATCH(orderHistory[order_type],$D$13,0)),MATCH(ROW(orderHistory[customer]),ROW(orderHistory[customer])),""),ROWS($A$15:A43)+$B$3))))),"")</f>
        <v/>
      </c>
      <c r="N38" s="386" t="str">
        <f t="array" ref="N38">IFERROR(IF($D$9="",IF($D$11="",IF($D$13="",INDEX(orderHistory[order_type],SMALL(MATCH(ROW(orderHistory[customer]),ROW(orderHistory[customer])),ROWS($A$15:A43)+$B$3)),INDEX(orderHistory[order_type],SMALL(IF(ISNUMBER(MATCH(orderHistory[order_type],$D$13,0)),MATCH(ROW(orderHistory[customer]),ROW(orderHistory[customer])),""),ROWS($A$15:A43)+$B$3))),IF($D$13="",INDEX(orderHistory[order_type],SMALL(IF(ISNUMBER(MATCH(orderHistory[status],$D$11,0)),MATCH(ROW(orderHistory[customer]),ROW(orderHistory[customer])),""),ROWS($A$15:A43)+$B$3)),INDEX(orderHistory[order_type],SMALL(IF(ISNUMBER(MATCH(orderHistory[status],$D$11,0)*MATCH(orderHistory[order_type],$D$13,0)),MATCH(ROW(orderHistory[customer]),ROW(orderHistory[customer])),""),ROWS($A$15:A43)+$B$3)))),IF($D$11="",IF($D$13="",INDEX(orderHistory[order_type],SMALL(IF(ISNUMBER(MATCH(orderHistory[customer],$D$9,0)),MATCH(ROW(orderHistory[customer]),ROW(orderHistory[customer])),""),ROWS($A$15:A43)+$B$3)),INDEX(orderHistory[order_type],SMALL(IF(ISNUMBER(MATCH(orderHistory[customer],$D$9,0)*MATCH(orderHistory[order_type],$D$13,0)),MATCH(ROW(orderHistory[customer]),ROW(orderHistory[customer])),""),ROWS($A$15:A43)+$B$3))),IF($D$13="",INDEX(orderHistory[order_type],SMALL(IF(ISNUMBER(MATCH(orderHistory[customer],$D$9,0)*MATCH(orderHistory[status],$D$11,0)),MATCH(ROW(orderHistory[customer]),ROW(orderHistory[customer])),""),ROWS($A$15:A43)+$B$3)),INDEX(orderHistory[order_type],SMALL(IF(ISNUMBER(MATCH(orderHistory[customer],$D$9,0)*MATCH(orderHistory[status],$D$11,0)*MATCH(orderHistory[order_type],$D$13,0)),MATCH(ROW(orderHistory[customer]),ROW(orderHistory[customer])),""),ROWS($A$15:A43)+$B$3))))),"")</f>
        <v/>
      </c>
      <c r="O38" s="275" t="str">
        <f t="array" ref="O38">IFERROR(IF($D$9="",IF($D$11="",IF($D$13="",INDEX(orderHistory[order_date],SMALL(MATCH(ROW(orderHistory[customer]),ROW(orderHistory[customer])),ROWS($A$15:A43)+$B$3)),INDEX(orderHistory[order_date],SMALL(IF(ISNUMBER(MATCH(orderHistory[order_type],$D$13,0)),MATCH(ROW(orderHistory[customer]),ROW(orderHistory[customer])),""),ROWS($A$15:A43)+$B$3))),IF($D$13="",INDEX(orderHistory[order_date],SMALL(IF(ISNUMBER(MATCH(orderHistory[status],$D$11,0)),MATCH(ROW(orderHistory[customer]),ROW(orderHistory[customer])),""),ROWS($A$15:A43)+$B$3)),INDEX(orderHistory[order_date],SMALL(IF(ISNUMBER(MATCH(orderHistory[status],$D$11,0)*MATCH(orderHistory[order_type],$D$13,0)),MATCH(ROW(orderHistory[customer]),ROW(orderHistory[customer])),""),ROWS($A$15:A43)+$B$3)))),IF($D$11="",IF($D$13="",INDEX(orderHistory[order_date],SMALL(IF(ISNUMBER(MATCH(orderHistory[customer],$D$9,0)),MATCH(ROW(orderHistory[customer]),ROW(orderHistory[customer])),""),ROWS($A$15:A43)+$B$3)),INDEX(orderHistory[order_date],SMALL(IF(ISNUMBER(MATCH(orderHistory[customer],$D$9,0)*MATCH(orderHistory[order_type],$D$13,0)),MATCH(ROW(orderHistory[customer]),ROW(orderHistory[customer])),""),ROWS($A$15:A43)+$B$3))),IF($D$13="",INDEX(orderHistory[order_date],SMALL(IF(ISNUMBER(MATCH(orderHistory[customer],$D$9,0)*MATCH(orderHistory[status],$D$11,0)),MATCH(ROW(orderHistory[customer]),ROW(orderHistory[customer])),""),ROWS($A$15:A43)+$B$3)),INDEX(orderHistory[order_date],SMALL(IF(ISNUMBER(MATCH(orderHistory[customer],$D$9,0)*MATCH(orderHistory[status],$D$11,0)*MATCH(orderHistory[order_type],$D$13,0)),MATCH(ROW(orderHistory[customer]),ROW(orderHistory[customer])),""),ROWS($A$15:A43)+$B$3))))),"")</f>
        <v/>
      </c>
      <c r="P38" s="379" t="str">
        <f t="array" ref="P38">IF(IFERROR(IF($D$9="",IF($D$11="",IF($D$13="",INDEX(orderHistory[invoice_no],SMALL(MATCH(ROW(orderHistory[customer]),ROW(orderHistory[customer])),ROWS($A$15:A43)+$B$3)),INDEX(orderHistory[invoice_no],SMALL(IF(ISNUMBER(MATCH(orderHistory[order_type],$D$13,0)),MATCH(ROW(orderHistory[customer]),ROW(orderHistory[customer])),""),ROWS($A$15:A43)+$B$3))),IF($D$13="",INDEX(orderHistory[invoice_no],SMALL(IF(ISNUMBER(MATCH(orderHistory[status],$D$11,0)),MATCH(ROW(orderHistory[customer]),ROW(orderHistory[customer])),""),ROWS($A$15:A43)+$B$3)),INDEX(orderHistory[invoice_no],SMALL(IF(ISNUMBER(MATCH(orderHistory[status],$D$11,0)*MATCH(orderHistory[order_type],$D$13,0)),MATCH(ROW(orderHistory[customer]),ROW(orderHistory[customer])),""),ROWS($A$15:A43)+$B$3)))),IF($D$11="",IF($D$13="",INDEX(orderHistory[invoice_no],SMALL(IF(ISNUMBER(MATCH(orderHistory[customer],$D$9,0)),MATCH(ROW(orderHistory[customer]),ROW(orderHistory[customer])),""),ROWS($A$15:A43)+$B$3)),INDEX(orderHistory[invoice_no],SMALL(IF(ISNUMBER(MATCH(orderHistory[customer],$D$9,0)*MATCH(orderHistory[order_type],$D$13,0)),MATCH(ROW(orderHistory[customer]),ROW(orderHistory[customer])),""),ROWS($A$15:A43)+$B$3))),IF($D$13="",INDEX(orderHistory[invoice_no],SMALL(IF(ISNUMBER(MATCH(orderHistory[customer],$D$9,0)*MATCH(orderHistory[status],$D$11,0)),MATCH(ROW(orderHistory[customer]),ROW(orderHistory[customer])),""),ROWS($A$15:A43)+$B$3)),INDEX(orderHistory[invoice_no],SMALL(IF(ISNUMBER(MATCH(orderHistory[customer],$D$9,0)*MATCH(orderHistory[status],$D$11,0)*MATCH(orderHistory[order_type],$D$13,0)),MATCH(ROW(orderHistory[customer]),ROW(orderHistory[customer])),""),ROWS($A$15:A43)+$B$3))))),"")=0,"",IFERROR(IF($D$9="",IF($D$11="",IF($D$13="",INDEX(orderHistory[invoice_no],SMALL(MATCH(ROW(orderHistory[customer]),ROW(orderHistory[customer])),ROWS($A$15:A43)+$B$3)),INDEX(orderHistory[invoice_no],SMALL(IF(ISNUMBER(MATCH(orderHistory[order_type],$D$13,0)),MATCH(ROW(orderHistory[customer]),ROW(orderHistory[customer])),""),ROWS($A$15:A43)+$B$3))),IF($D$13="",INDEX(orderHistory[invoice_no],SMALL(IF(ISNUMBER(MATCH(orderHistory[status],$D$11,0)),MATCH(ROW(orderHistory[customer]),ROW(orderHistory[customer])),""),ROWS($A$15:A43)+$B$3)),INDEX(orderHistory[invoice_no],SMALL(IF(ISNUMBER(MATCH(orderHistory[status],$D$11,0)*MATCH(orderHistory[order_type],$D$13,0)),MATCH(ROW(orderHistory[customer]),ROW(orderHistory[customer])),""),ROWS($A$15:A43)+$B$3)))),IF($D$11="",IF($D$13="",INDEX(orderHistory[invoice_no],SMALL(IF(ISNUMBER(MATCH(orderHistory[customer],$D$9,0)),MATCH(ROW(orderHistory[customer]),ROW(orderHistory[customer])),""),ROWS($A$15:A43)+$B$3)),INDEX(orderHistory[invoice_no],SMALL(IF(ISNUMBER(MATCH(orderHistory[customer],$D$9,0)*MATCH(orderHistory[order_type],$D$13,0)),MATCH(ROW(orderHistory[customer]),ROW(orderHistory[customer])),""),ROWS($A$15:A43)+$B$3))),IF($D$13="",INDEX(orderHistory[invoice_no],SMALL(IF(ISNUMBER(MATCH(orderHistory[customer],$D$9,0)*MATCH(orderHistory[status],$D$11,0)),MATCH(ROW(orderHistory[customer]),ROW(orderHistory[customer])),""),ROWS($A$15:A43)+$B$3)),INDEX(orderHistory[invoice_no],SMALL(IF(ISNUMBER(MATCH(orderHistory[customer],$D$9,0)*MATCH(orderHistory[status],$D$11,0)*MATCH(orderHistory[order_type],$D$13,0)),MATCH(ROW(orderHistory[customer]),ROW(orderHistory[customer])),""),ROWS($A$15:A43)+$B$3))))),""))</f>
        <v/>
      </c>
      <c r="Q38" s="381" t="str">
        <f t="array" ref="Q38">IF(IFERROR(IF($D$9="",IF($D$11="",IF($D$13="",INDEX(orderHistory[invoice_date],SMALL(MATCH(ROW(orderHistory[customer]),ROW(orderHistory[customer])),ROWS($A$15:A43)+$B$3)),INDEX(orderHistory[invoice_date],SMALL(IF(ISNUMBER(MATCH(orderHistory[order_type],$D$13,0)),MATCH(ROW(orderHistory[customer]),ROW(orderHistory[customer])),""),ROWS($A$15:A43)+$B$3))),IF($D$13="",INDEX(orderHistory[invoice_date],SMALL(IF(ISNUMBER(MATCH(orderHistory[status],$D$11,0)),MATCH(ROW(orderHistory[customer]),ROW(orderHistory[customer])),""),ROWS($A$15:A43)+$B$3)),INDEX(orderHistory[invoice_date],SMALL(IF(ISNUMBER(MATCH(orderHistory[status],$D$11,0)*MATCH(orderHistory[order_type],$D$13,0)),MATCH(ROW(orderHistory[customer]),ROW(orderHistory[customer])),""),ROWS($A$15:A43)+$B$3)))),IF($D$11="",IF($D$13="",INDEX(orderHistory[invoice_date],SMALL(IF(ISNUMBER(MATCH(orderHistory[customer],$D$9,0)),MATCH(ROW(orderHistory[customer]),ROW(orderHistory[customer])),""),ROWS($A$15:A43)+$B$3)),INDEX(orderHistory[invoice_date],SMALL(IF(ISNUMBER(MATCH(orderHistory[customer],$D$9,0)*MATCH(orderHistory[order_type],$D$13,0)),MATCH(ROW(orderHistory[customer]),ROW(orderHistory[customer])),""),ROWS($A$15:A43)+$B$3))),IF($D$13="",INDEX(orderHistory[invoice_date],SMALL(IF(ISNUMBER(MATCH(orderHistory[customer],$D$9,0)*MATCH(orderHistory[status],$D$11,0)),MATCH(ROW(orderHistory[customer]),ROW(orderHistory[customer])),""),ROWS($A$15:A43)+$B$3)),INDEX(orderHistory[invoice_date],SMALL(IF(ISNUMBER(MATCH(orderHistory[customer],$D$9,0)*MATCH(orderHistory[status],$D$11,0)*MATCH(orderHistory[order_type],$D$13,0)),MATCH(ROW(orderHistory[customer]),ROW(orderHistory[customer])),""),ROWS($A$15:A43)+$B$3))))),"")=0,"",IFERROR(IF($D$9="",IF($D$11="",IF($D$13="",INDEX(orderHistory[invoice_date],SMALL(MATCH(ROW(orderHistory[customer]),ROW(orderHistory[customer])),ROWS($A$15:A43)+$B$3)),INDEX(orderHistory[invoice_date],SMALL(IF(ISNUMBER(MATCH(orderHistory[order_type],$D$13,0)),MATCH(ROW(orderHistory[customer]),ROW(orderHistory[customer])),""),ROWS($A$15:A43)+$B$3))),IF($D$13="",INDEX(orderHistory[invoice_date],SMALL(IF(ISNUMBER(MATCH(orderHistory[status],$D$11,0)),MATCH(ROW(orderHistory[customer]),ROW(orderHistory[customer])),""),ROWS($A$15:A43)+$B$3)),INDEX(orderHistory[invoice_date],SMALL(IF(ISNUMBER(MATCH(orderHistory[status],$D$11,0)*MATCH(orderHistory[order_type],$D$13,0)),MATCH(ROW(orderHistory[customer]),ROW(orderHistory[customer])),""),ROWS($A$15:A43)+$B$3)))),IF($D$11="",IF($D$13="",INDEX(orderHistory[invoice_date],SMALL(IF(ISNUMBER(MATCH(orderHistory[customer],$D$9,0)),MATCH(ROW(orderHistory[customer]),ROW(orderHistory[customer])),""),ROWS($A$15:A43)+$B$3)),INDEX(orderHistory[invoice_date],SMALL(IF(ISNUMBER(MATCH(orderHistory[customer],$D$9,0)*MATCH(orderHistory[order_type],$D$13,0)),MATCH(ROW(orderHistory[customer]),ROW(orderHistory[customer])),""),ROWS($A$15:A43)+$B$3))),IF($D$13="",INDEX(orderHistory[invoice_date],SMALL(IF(ISNUMBER(MATCH(orderHistory[customer],$D$9,0)*MATCH(orderHistory[status],$D$11,0)),MATCH(ROW(orderHistory[customer]),ROW(orderHistory[customer])),""),ROWS($A$15:A43)+$B$3)),INDEX(orderHistory[invoice_date],SMALL(IF(ISNUMBER(MATCH(orderHistory[customer],$D$9,0)*MATCH(orderHistory[status],$D$11,0)*MATCH(orderHistory[order_type],$D$13,0)),MATCH(ROW(orderHistory[customer]),ROW(orderHistory[customer])),""),ROWS($A$15:A43)+$B$3))))),""))</f>
        <v/>
      </c>
      <c r="R38" s="377" t="str">
        <f t="array" ref="R38">IFERROR(IF($D$9="",IF($D$11="",IF($D$13="",INDEX(orderHistory[inv_amount],SMALL(MATCH(ROW(orderHistory[customer]),ROW(orderHistory[customer])),ROWS($A$15:A43)+$B$3)),INDEX(orderHistory[inv_amount],SMALL(IF(ISNUMBER(MATCH(orderHistory[order_type],$D$13,0)),MATCH(ROW(orderHistory[customer]),ROW(orderHistory[customer])),""),ROWS($A$15:A43)+$B$3))),IF($D$13="",INDEX(orderHistory[inv_amount],SMALL(IF(ISNUMBER(MATCH(orderHistory[status],$D$11,0)),MATCH(ROW(orderHistory[customer]),ROW(orderHistory[customer])),""),ROWS($A$15:A43)+$B$3)),INDEX(orderHistory[inv_amount],SMALL(IF(ISNUMBER(MATCH(orderHistory[status],$D$11,0)*MATCH(orderHistory[order_type],$D$13,0)),MATCH(ROW(orderHistory[customer]),ROW(orderHistory[customer])),""),ROWS($A$15:A43)+$B$3)))),IF($D$11="",IF($D$13="",INDEX(orderHistory[inv_amount],SMALL(IF(ISNUMBER(MATCH(orderHistory[customer],$D$9,0)),MATCH(ROW(orderHistory[customer]),ROW(orderHistory[customer])),""),ROWS($A$15:A43)+$B$3)),INDEX(orderHistory[inv_amount],SMALL(IF(ISNUMBER(MATCH(orderHistory[customer],$D$9,0)*MATCH(orderHistory[order_type],$D$13,0)),MATCH(ROW(orderHistory[customer]),ROW(orderHistory[customer])),""),ROWS($A$15:A43)+$B$3))),IF($D$13="",INDEX(orderHistory[inv_amount],SMALL(IF(ISNUMBER(MATCH(orderHistory[customer],$D$9,0)*MATCH(orderHistory[status],$D$11,0)),MATCH(ROW(orderHistory[customer]),ROW(orderHistory[customer])),""),ROWS($A$15:A43)+$B$3)),INDEX(orderHistory[inv_amount],SMALL(IF(ISNUMBER(MATCH(orderHistory[customer],$D$9,0)*MATCH(orderHistory[status],$D$11,0)*MATCH(orderHistory[order_type],$D$13,0)),MATCH(ROW(orderHistory[customer]),ROW(orderHistory[customer])),""),ROWS($A$15:A43)+$B$3))))),"")</f>
        <v/>
      </c>
      <c r="S38" s="383" t="str">
        <f t="shared" si="0"/>
        <v/>
      </c>
      <c r="T38" s="385" t="str">
        <f t="array" ref="T38">IFERROR(IF($D$9="",IF($D$11="",IF($D$13="",INDEX(orderHistory[payed],SMALL(MATCH(ROW(orderHistory[customer]),ROW(orderHistory[customer])),ROWS($A$15:A43)+$B$3)),INDEX(orderHistory[payed],SMALL(IF(ISNUMBER(MATCH(orderHistory[order_type],$D$13,0)),MATCH(ROW(orderHistory[customer]),ROW(orderHistory[customer])),""),ROWS($A$15:A43)+$B$3))),IF($D$13="",INDEX(orderHistory[payed],SMALL(IF(ISNUMBER(MATCH(orderHistory[status],$D$11,0)),MATCH(ROW(orderHistory[customer]),ROW(orderHistory[customer])),""),ROWS($A$15:A43)+$B$3)),INDEX(orderHistory[payed],SMALL(IF(ISNUMBER(MATCH(orderHistory[status],$D$11,0)*MATCH(orderHistory[order_type],$D$13,0)),MATCH(ROW(orderHistory[customer]),ROW(orderHistory[customer])),""),ROWS($A$15:A43)+$B$3)))),IF($D$11="",IF($D$13="",INDEX(orderHistory[payed],SMALL(IF(ISNUMBER(MATCH(orderHistory[customer],$D$9,0)),MATCH(ROW(orderHistory[customer]),ROW(orderHistory[customer])),""),ROWS($A$15:A43)+$B$3)),INDEX(orderHistory[payed],SMALL(IF(ISNUMBER(MATCH(orderHistory[customer],$D$9,0)*MATCH(orderHistory[order_type],$D$13,0)),MATCH(ROW(orderHistory[customer]),ROW(orderHistory[customer])),""),ROWS($A$15:A43)+$B$3))),IF($D$13="",INDEX(orderHistory[payed],SMALL(IF(ISNUMBER(MATCH(orderHistory[customer],$D$9,0)*MATCH(orderHistory[status],$D$11,0)),MATCH(ROW(orderHistory[customer]),ROW(orderHistory[customer])),""),ROWS($A$15:A43)+$B$3)),INDEX(orderHistory[payed],SMALL(IF(ISNUMBER(MATCH(orderHistory[customer],$D$9,0)*MATCH(orderHistory[status],$D$11,0)*MATCH(orderHistory[order_type],$D$13,0)),MATCH(ROW(orderHistory[customer]),ROW(orderHistory[customer])),""),ROWS($A$15:A43)+$B$3))))),"")</f>
        <v/>
      </c>
      <c r="U38" s="386" t="str">
        <f t="array" ref="U38">IFERROR(IF($D$9="",IF($D$11="",IF($D$13="",INDEX(orderHistory[shipping_method],SMALL(MATCH(ROW(orderHistory[customer]),ROW(orderHistory[customer])),ROWS($A$15:A43)+$B$3)),INDEX(orderHistory[shipping_method],SMALL(IF(ISNUMBER(MATCH(orderHistory[order_type],$D$13,0)),MATCH(ROW(orderHistory[customer]),ROW(orderHistory[customer])),""),ROWS($A$15:A43)+$B$3))),IF($D$13="",INDEX(orderHistory[shipping_method],SMALL(IF(ISNUMBER(MATCH(orderHistory[status],$D$11,0)),MATCH(ROW(orderHistory[customer]),ROW(orderHistory[customer])),""),ROWS($A$15:A43)+$B$3)),INDEX(orderHistory[shipping_method],SMALL(IF(ISNUMBER(MATCH(orderHistory[status],$D$11,0)*MATCH(orderHistory[order_type],$D$13,0)),MATCH(ROW(orderHistory[customer]),ROW(orderHistory[customer])),""),ROWS($A$15:A43)+$B$3)))),IF($D$11="",IF($D$13="",INDEX(orderHistory[shipping_method],SMALL(IF(ISNUMBER(MATCH(orderHistory[customer],$D$9,0)),MATCH(ROW(orderHistory[customer]),ROW(orderHistory[customer])),""),ROWS($A$15:A43)+$B$3)),INDEX(orderHistory[shipping_method],SMALL(IF(ISNUMBER(MATCH(orderHistory[customer],$D$9,0)*MATCH(orderHistory[order_type],$D$13,0)),MATCH(ROW(orderHistory[customer]),ROW(orderHistory[customer])),""),ROWS($A$15:A43)+$B$3))),IF($D$13="",INDEX(orderHistory[shipping_method],SMALL(IF(ISNUMBER(MATCH(orderHistory[customer],$D$9,0)*MATCH(orderHistory[status],$D$11,0)),MATCH(ROW(orderHistory[customer]),ROW(orderHistory[customer])),""),ROWS($A$15:A43)+$B$3)),INDEX(orderHistory[shipping_method],SMALL(IF(ISNUMBER(MATCH(orderHistory[customer],$D$9,0)*MATCH(orderHistory[status],$D$11,0)*MATCH(orderHistory[order_type],$D$13,0)),MATCH(ROW(orderHistory[customer]),ROW(orderHistory[customer])),""),ROWS($A$15:A43)+$B$3))))),"")</f>
        <v/>
      </c>
      <c r="V38" s="387" t="str">
        <f t="array" ref="V38">IFERROR(IF($D$9="",IF($D$11="",IF($D$13="",INDEX(orderHistory[status],SMALL(MATCH(ROW(orderHistory[customer]),ROW(orderHistory[customer])),ROWS($A$15:A43)+$B$3)),INDEX(orderHistory[status],SMALL(IF(ISNUMBER(MATCH(orderHistory[order_type],$D$13,0)),MATCH(ROW(orderHistory[customer]),ROW(orderHistory[customer])),""),ROWS($A$15:A43)+$B$3))),IF($D$13="",INDEX(orderHistory[status],SMALL(IF(ISNUMBER(MATCH(orderHistory[status],$D$11,0)),MATCH(ROW(orderHistory[customer]),ROW(orderHistory[customer])),""),ROWS($A$15:A43)+$B$3)),INDEX(orderHistory[status],SMALL(IF(ISNUMBER(MATCH(orderHistory[status],$D$11,0)*MATCH(orderHistory[order_type],$D$13,0)),MATCH(ROW(orderHistory[customer]),ROW(orderHistory[customer])),""),ROWS($A$15:A43)+$B$3)))),IF($D$11="",IF($D$13="",INDEX(orderHistory[status],SMALL(IF(ISNUMBER(MATCH(orderHistory[customer],$D$9,0)),MATCH(ROW(orderHistory[customer]),ROW(orderHistory[customer])),""),ROWS($A$15:A43)+$B$3)),INDEX(orderHistory[status],SMALL(IF(ISNUMBER(MATCH(orderHistory[customer],$D$9,0)*MATCH(orderHistory[order_type],$D$13,0)),MATCH(ROW(orderHistory[customer]),ROW(orderHistory[customer])),""),ROWS($A$15:A43)+$B$3))),IF($D$13="",INDEX(orderHistory[status],SMALL(IF(ISNUMBER(MATCH(orderHistory[customer],$D$9,0)*MATCH(orderHistory[status],$D$11,0)),MATCH(ROW(orderHistory[customer]),ROW(orderHistory[customer])),""),ROWS($A$15:A43)+$B$3)),INDEX(orderHistory[status],SMALL(IF(ISNUMBER(MATCH(orderHistory[customer],$D$9,0)*MATCH(orderHistory[status],$D$11,0)*MATCH(orderHistory[order_type],$D$13,0)),MATCH(ROW(orderHistory[customer]),ROW(orderHistory[customer])),""),ROWS($A$15:A43)+$B$3))))),"")</f>
        <v/>
      </c>
      <c r="W38" s="187"/>
      <c r="AQ38" s="125" t="s">
        <v>736</v>
      </c>
      <c r="AR38" s="981" t="s">
        <v>1306</v>
      </c>
      <c r="AS38" s="982"/>
      <c r="AT38" s="983"/>
      <c r="AU38" s="121"/>
      <c r="AW38" s="131"/>
      <c r="AX38" s="120"/>
      <c r="AY38" s="120"/>
      <c r="AZ38" s="120"/>
      <c r="BA38" s="120"/>
      <c r="BB38" s="120"/>
      <c r="BC38" s="120"/>
      <c r="BD38" s="120"/>
      <c r="BE38" s="120"/>
      <c r="BF38" s="120"/>
      <c r="BG38" s="175"/>
      <c r="BH38" s="120"/>
      <c r="BI38" s="291"/>
      <c r="BJ38" s="121"/>
      <c r="BK38" s="146"/>
      <c r="BL38" s="147"/>
      <c r="BM38" s="148"/>
      <c r="BN38" s="147"/>
      <c r="BO38" s="148"/>
      <c r="BZ38" s="295"/>
      <c r="CA38" s="270" t="str">
        <f>IF(BZ38="","",VLOOKUP(BZ38,bhpc_data[],7,FALSE))</f>
        <v/>
      </c>
      <c r="CB38" s="296"/>
      <c r="CC38" s="642"/>
      <c r="CD38" s="544"/>
      <c r="CE38" s="645"/>
      <c r="CF38" s="298"/>
      <c r="CG38" s="301" t="str">
        <f>IFERROR(ROUNDUP(CB38/VLOOKUP(BZ38,bhpc_data[],9,FALSE),0)+ROUNDUP(CD38/VLOOKUP(BZ38,bhpc_data[],9,FALSE),0),"")</f>
        <v/>
      </c>
      <c r="CH38" s="302" t="str">
        <f>IFERROR(ROUNDUP(CD38/VLOOKUP(BZ38,bhpc_data[],9,FALSE),0),"")</f>
        <v/>
      </c>
      <c r="CI38" s="302" t="str">
        <f>IFERROR(ROUNDUP(CF38/VLOOKUP(BZ38,bhpc_data[],9,FALSE),0),"")</f>
        <v/>
      </c>
      <c r="CJ38" s="302" t="str">
        <f>IFERROR(((CB38+CD38+CF38)/VLOOKUP(BZ38,bhpc_data[],9,FALSE))*VLOOKUP(BZ38,bhpc_data[],17,FALSE),"")</f>
        <v/>
      </c>
      <c r="CK38" s="302" t="str">
        <f>IFERROR(((CB38+CD38+CF38)/VLOOKUP(BZ38,bhpc_data[],9,FALSE))*VLOOKUP(BZ38,bhpc_data[],18,FALSE),"")</f>
        <v/>
      </c>
      <c r="CL38" s="346" t="str">
        <f>IFERROR((CB38+CD38)/VLOOKUP(BZ38,bhpc_data[],9,FALSE)*VLOOKUP(BZ38,bhpc_data[],14,FALSE)*VLOOKUP(BZ38,bhpc_data[],15,FALSE)*VLOOKUP(BZ38,bhpc_data[],16,FALSE)/1000000000,"")</f>
        <v/>
      </c>
      <c r="CM38" s="409" t="str">
        <f>IFERROR(VLOOKUP(BZ38,bhpc_data[],2,FALSE),"")</f>
        <v/>
      </c>
      <c r="CN38" s="409" t="str">
        <f>IFERROR(VLOOKUP(BZ38,bhpc_data[],19,FALSE),"")</f>
        <v/>
      </c>
      <c r="CO38" s="653" t="str">
        <f>IFERROR(VLOOKUP(BZ38,bhpc_data[],6,FALSE),"")</f>
        <v/>
      </c>
      <c r="CP38" s="654" t="str">
        <f>IFERROR(VLOOKUP(BZ38,inventory[],4,FALSE),"")</f>
        <v/>
      </c>
      <c r="CQ38" s="651" t="str">
        <f>IFERROR(IF(BZ38="","",IF($BX$15="SALE",VLOOKUP(BZ38,inventory[],5,FALSE),IF($BX$15="SAMPLING",VLOOKUP(BZ38,inventory[],5,FALSE),""))),"")</f>
        <v/>
      </c>
      <c r="CR38" s="652" t="str">
        <f>IFERROR(IF(BZ38="","",(CB38+CD38+CF38)*CQ38),"")</f>
        <v/>
      </c>
      <c r="CS38" s="557" t="str">
        <f>IF(BZ38="","",CB38*CC38+CD38*CE38)</f>
        <v/>
      </c>
      <c r="CU38" s="125"/>
      <c r="CV38" s="365" t="s">
        <v>1171</v>
      </c>
      <c r="CW38" s="571">
        <f>IF(CW35="CONSOLIDATO",IF(CW36="80x120",ROUNDUP(SUM(bhpc_data[pallet_euro]),0),ROUNDUP(SUM(bhpc_data[pallet]),0)),IF(CW35="PER CATEGORIA",IF(CW36="80x120",CV43+CW43+CX43+CY43+CV45+CW45,CV48+CW48+CX48+CY48+CV50+CW50),IF(CW36="80x120",CV55,CW55)))</f>
        <v>1</v>
      </c>
      <c r="CX38" s="365"/>
      <c r="CY38" s="291"/>
      <c r="CZ38" s="121"/>
      <c r="DA38" s="540" t="str">
        <f>IFERROR(VLOOKUP(BZ38,bhpc_data[],22,FALSE),"")</f>
        <v/>
      </c>
      <c r="DF38" s="131"/>
      <c r="DG38" s="120"/>
      <c r="DH38" s="162"/>
      <c r="DI38" s="120"/>
      <c r="DJ38" s="120"/>
      <c r="DK38" s="120"/>
      <c r="DL38" s="120"/>
      <c r="DM38" s="120"/>
      <c r="DN38" s="291"/>
      <c r="DO38" s="291"/>
      <c r="DP38" s="291"/>
      <c r="DQ38" s="291"/>
      <c r="DR38" s="291"/>
      <c r="DS38" s="291"/>
      <c r="DT38" s="291"/>
      <c r="DU38" s="291"/>
      <c r="DV38" s="121"/>
      <c r="EE38" s="453" t="s">
        <v>100</v>
      </c>
      <c r="EF38" s="447" t="str">
        <f>VLOOKUP(EE38,bhpc_data[],7,FALSE)</f>
        <v>BHPC GIFT SET WOMEN 1 EDP 100ML + DEO 150ML</v>
      </c>
      <c r="EG38" s="555">
        <f>IFERROR(VLOOKUP(EE38,inventory[],4,FALSE),0)</f>
        <v>40</v>
      </c>
      <c r="EH38" s="555">
        <f>IFERROR(VLOOKUP(warehouse[[#This Row],[SKU]],$EQ$10:$ES$38,3,FALSE),0)</f>
        <v>0</v>
      </c>
      <c r="EI38" s="555">
        <f>IFERROR(VLOOKUP(warehouse[[#This Row],[SKU]],$EM$10:$EO$61,3,FALSE),0)</f>
        <v>46</v>
      </c>
      <c r="EJ38" s="555">
        <f>warehouse[[#This Row],[T-1]]+warehouse[[#This Row],[SUPPLY]]-warehouse[[#This Row],[SALE + SAMPLING]]</f>
        <v>-6</v>
      </c>
      <c r="EK38" s="449"/>
      <c r="EM38" s="74" t="s">
        <v>119</v>
      </c>
      <c r="EN38" s="74" t="s">
        <v>120</v>
      </c>
      <c r="EO38" s="431">
        <v>2973</v>
      </c>
      <c r="EQ38" s="74" t="s">
        <v>167</v>
      </c>
      <c r="ER38" s="74" t="s">
        <v>168</v>
      </c>
      <c r="ES38" s="446">
        <v>1131</v>
      </c>
    </row>
    <row r="39" spans="6:149" ht="15" customHeight="1" thickBot="1">
      <c r="F39" s="131"/>
      <c r="G39" s="120" t="s">
        <v>727</v>
      </c>
      <c r="H39" s="120"/>
      <c r="I39" s="120"/>
      <c r="J39" s="121"/>
      <c r="L39" s="274" t="str">
        <f t="array" ref="L39">IFERROR(IF($D$9="",IF($D$11="",IF($D$13="",INDEX(orderHistory[customer],SMALL(MATCH(ROW(orderHistory[customer]),ROW(orderHistory[customer])),ROWS($A$15:A44)+$B$3)),INDEX(orderHistory[customer],SMALL(IF(ISNUMBER(MATCH(orderHistory[order_type],$D$13,0)),MATCH(ROW(orderHistory[customer]),ROW(orderHistory[customer])),""),ROWS($A$15:A44)+$B$3))),IF($D$13="",INDEX(orderHistory[customer],SMALL(IF(ISNUMBER(MATCH(orderHistory[status],$D$11,0)),MATCH(ROW(orderHistory[customer]),ROW(orderHistory[customer])),""),ROWS($A$15:A44)+$B$3)),INDEX(orderHistory[customer],SMALL(IF(ISNUMBER(MATCH(orderHistory[status],$D$11,0)*MATCH(orderHistory[order_type],$D$13,0)),MATCH(ROW(orderHistory[customer]),ROW(orderHistory[customer])),""),ROWS($A$15:A44)+$B$3)))),IF($D$11="",IF($D$13="",INDEX(orderHistory[customer],SMALL(IF(ISNUMBER(MATCH(orderHistory[customer],$D$9,0)),MATCH(ROW(orderHistory[customer]),ROW(orderHistory[customer])),""),ROWS($A$15:A44)+$B$3)),INDEX(orderHistory[customer],SMALL(IF(ISNUMBER(MATCH(orderHistory[customer],$D$9,0)*MATCH(orderHistory[order_type],$D$13,0)),MATCH(ROW(orderHistory[customer]),ROW(orderHistory[customer])),""),ROWS($A$15:A44)+$B$3))),IF($D$13="",INDEX(orderHistory[customer],SMALL(IF(ISNUMBER(MATCH(orderHistory[customer],$D$9,0)*MATCH(orderHistory[status],$D$11,0)),MATCH(ROW(orderHistory[customer]),ROW(orderHistory[customer])),""),ROWS($A$15:A44)+$B$3)),INDEX(orderHistory[customer],SMALL(IF(ISNUMBER(MATCH(orderHistory[customer],$D$9,0)*MATCH(orderHistory[status],$D$11,0)*MATCH(orderHistory[order_type],$D$13,0)),MATCH(ROW(orderHistory[customer]),ROW(orderHistory[customer])),""),ROWS($A$15:A44)+$B$3))))),"")</f>
        <v/>
      </c>
      <c r="M39" s="391" t="str">
        <f t="array" ref="M39">IFERROR(IF($D$9="",IF($D$11="",IF($D$13="",INDEX(orderHistory[order_no],SMALL(MATCH(ROW(orderHistory[customer]),ROW(orderHistory[customer])),ROWS($A$15:A44)+$B$3)),INDEX(orderHistory[order_no],SMALL(IF(ISNUMBER(MATCH(orderHistory[order_type],$D$13,0)),MATCH(ROW(orderHistory[customer]),ROW(orderHistory[customer])),""),ROWS($A$15:A44)+$B$3))),IF($D$13="",INDEX(orderHistory[order_no],SMALL(IF(ISNUMBER(MATCH(orderHistory[status],$D$11,0)),MATCH(ROW(orderHistory[customer]),ROW(orderHistory[customer])),""),ROWS($A$15:A44)+$B$3)),INDEX(orderHistory[order_no],SMALL(IF(ISNUMBER(MATCH(orderHistory[status],$D$11,0)*MATCH(orderHistory[order_type],$D$13,0)),MATCH(ROW(orderHistory[customer]),ROW(orderHistory[customer])),""),ROWS($A$15:A44)+$B$3)))),IF($D$11="",IF($D$13="",INDEX(orderHistory[order_no],SMALL(IF(ISNUMBER(MATCH(orderHistory[customer],$D$9,0)),MATCH(ROW(orderHistory[customer]),ROW(orderHistory[customer])),""),ROWS($A$15:A44)+$B$3)),INDEX(orderHistory[order_no],SMALL(IF(ISNUMBER(MATCH(orderHistory[customer],$D$9,0)*MATCH(orderHistory[order_type],$D$13,0)),MATCH(ROW(orderHistory[customer]),ROW(orderHistory[customer])),""),ROWS($A$15:A44)+$B$3))),IF($D$13="",INDEX(orderHistory[order_no],SMALL(IF(ISNUMBER(MATCH(orderHistory[customer],$D$9,0)*MATCH(orderHistory[status],$D$11,0)),MATCH(ROW(orderHistory[customer]),ROW(orderHistory[customer])),""),ROWS($A$15:A44)+$B$3)),INDEX(orderHistory[order_no],SMALL(IF(ISNUMBER(MATCH(orderHistory[customer],$D$9,0)*MATCH(orderHistory[status],$D$11,0)*MATCH(orderHistory[order_type],$D$13,0)),MATCH(ROW(orderHistory[customer]),ROW(orderHistory[customer])),""),ROWS($A$15:A44)+$B$3))))),"")</f>
        <v/>
      </c>
      <c r="N39" s="386" t="str">
        <f t="array" ref="N39">IFERROR(IF($D$9="",IF($D$11="",IF($D$13="",INDEX(orderHistory[order_type],SMALL(MATCH(ROW(orderHistory[customer]),ROW(orderHistory[customer])),ROWS($A$15:A44)+$B$3)),INDEX(orderHistory[order_type],SMALL(IF(ISNUMBER(MATCH(orderHistory[order_type],$D$13,0)),MATCH(ROW(orderHistory[customer]),ROW(orderHistory[customer])),""),ROWS($A$15:A44)+$B$3))),IF($D$13="",INDEX(orderHistory[order_type],SMALL(IF(ISNUMBER(MATCH(orderHistory[status],$D$11,0)),MATCH(ROW(orderHistory[customer]),ROW(orderHistory[customer])),""),ROWS($A$15:A44)+$B$3)),INDEX(orderHistory[order_type],SMALL(IF(ISNUMBER(MATCH(orderHistory[status],$D$11,0)*MATCH(orderHistory[order_type],$D$13,0)),MATCH(ROW(orderHistory[customer]),ROW(orderHistory[customer])),""),ROWS($A$15:A44)+$B$3)))),IF($D$11="",IF($D$13="",INDEX(orderHistory[order_type],SMALL(IF(ISNUMBER(MATCH(orderHistory[customer],$D$9,0)),MATCH(ROW(orderHistory[customer]),ROW(orderHistory[customer])),""),ROWS($A$15:A44)+$B$3)),INDEX(orderHistory[order_type],SMALL(IF(ISNUMBER(MATCH(orderHistory[customer],$D$9,0)*MATCH(orderHistory[order_type],$D$13,0)),MATCH(ROW(orderHistory[customer]),ROW(orderHistory[customer])),""),ROWS($A$15:A44)+$B$3))),IF($D$13="",INDEX(orderHistory[order_type],SMALL(IF(ISNUMBER(MATCH(orderHistory[customer],$D$9,0)*MATCH(orderHistory[status],$D$11,0)),MATCH(ROW(orderHistory[customer]),ROW(orderHistory[customer])),""),ROWS($A$15:A44)+$B$3)),INDEX(orderHistory[order_type],SMALL(IF(ISNUMBER(MATCH(orderHistory[customer],$D$9,0)*MATCH(orderHistory[status],$D$11,0)*MATCH(orderHistory[order_type],$D$13,0)),MATCH(ROW(orderHistory[customer]),ROW(orderHistory[customer])),""),ROWS($A$15:A44)+$B$3))))),"")</f>
        <v/>
      </c>
      <c r="O39" s="275" t="str">
        <f t="array" ref="O39">IFERROR(IF($D$9="",IF($D$11="",IF($D$13="",INDEX(orderHistory[order_date],SMALL(MATCH(ROW(orderHistory[customer]),ROW(orderHistory[customer])),ROWS($A$15:A44)+$B$3)),INDEX(orderHistory[order_date],SMALL(IF(ISNUMBER(MATCH(orderHistory[order_type],$D$13,0)),MATCH(ROW(orderHistory[customer]),ROW(orderHistory[customer])),""),ROWS($A$15:A44)+$B$3))),IF($D$13="",INDEX(orderHistory[order_date],SMALL(IF(ISNUMBER(MATCH(orderHistory[status],$D$11,0)),MATCH(ROW(orderHistory[customer]),ROW(orderHistory[customer])),""),ROWS($A$15:A44)+$B$3)),INDEX(orderHistory[order_date],SMALL(IF(ISNUMBER(MATCH(orderHistory[status],$D$11,0)*MATCH(orderHistory[order_type],$D$13,0)),MATCH(ROW(orderHistory[customer]),ROW(orderHistory[customer])),""),ROWS($A$15:A44)+$B$3)))),IF($D$11="",IF($D$13="",INDEX(orderHistory[order_date],SMALL(IF(ISNUMBER(MATCH(orderHistory[customer],$D$9,0)),MATCH(ROW(orderHistory[customer]),ROW(orderHistory[customer])),""),ROWS($A$15:A44)+$B$3)),INDEX(orderHistory[order_date],SMALL(IF(ISNUMBER(MATCH(orderHistory[customer],$D$9,0)*MATCH(orderHistory[order_type],$D$13,0)),MATCH(ROW(orderHistory[customer]),ROW(orderHistory[customer])),""),ROWS($A$15:A44)+$B$3))),IF($D$13="",INDEX(orderHistory[order_date],SMALL(IF(ISNUMBER(MATCH(orderHistory[customer],$D$9,0)*MATCH(orderHistory[status],$D$11,0)),MATCH(ROW(orderHistory[customer]),ROW(orderHistory[customer])),""),ROWS($A$15:A44)+$B$3)),INDEX(orderHistory[order_date],SMALL(IF(ISNUMBER(MATCH(orderHistory[customer],$D$9,0)*MATCH(orderHistory[status],$D$11,0)*MATCH(orderHistory[order_type],$D$13,0)),MATCH(ROW(orderHistory[customer]),ROW(orderHistory[customer])),""),ROWS($A$15:A44)+$B$3))))),"")</f>
        <v/>
      </c>
      <c r="P39" s="379" t="str">
        <f t="array" ref="P39">IF(IFERROR(IF($D$9="",IF($D$11="",IF($D$13="",INDEX(orderHistory[invoice_no],SMALL(MATCH(ROW(orderHistory[customer]),ROW(orderHistory[customer])),ROWS($A$15:A44)+$B$3)),INDEX(orderHistory[invoice_no],SMALL(IF(ISNUMBER(MATCH(orderHistory[order_type],$D$13,0)),MATCH(ROW(orderHistory[customer]),ROW(orderHistory[customer])),""),ROWS($A$15:A44)+$B$3))),IF($D$13="",INDEX(orderHistory[invoice_no],SMALL(IF(ISNUMBER(MATCH(orderHistory[status],$D$11,0)),MATCH(ROW(orderHistory[customer]),ROW(orderHistory[customer])),""),ROWS($A$15:A44)+$B$3)),INDEX(orderHistory[invoice_no],SMALL(IF(ISNUMBER(MATCH(orderHistory[status],$D$11,0)*MATCH(orderHistory[order_type],$D$13,0)),MATCH(ROW(orderHistory[customer]),ROW(orderHistory[customer])),""),ROWS($A$15:A44)+$B$3)))),IF($D$11="",IF($D$13="",INDEX(orderHistory[invoice_no],SMALL(IF(ISNUMBER(MATCH(orderHistory[customer],$D$9,0)),MATCH(ROW(orderHistory[customer]),ROW(orderHistory[customer])),""),ROWS($A$15:A44)+$B$3)),INDEX(orderHistory[invoice_no],SMALL(IF(ISNUMBER(MATCH(orderHistory[customer],$D$9,0)*MATCH(orderHistory[order_type],$D$13,0)),MATCH(ROW(orderHistory[customer]),ROW(orderHistory[customer])),""),ROWS($A$15:A44)+$B$3))),IF($D$13="",INDEX(orderHistory[invoice_no],SMALL(IF(ISNUMBER(MATCH(orderHistory[customer],$D$9,0)*MATCH(orderHistory[status],$D$11,0)),MATCH(ROW(orderHistory[customer]),ROW(orderHistory[customer])),""),ROWS($A$15:A44)+$B$3)),INDEX(orderHistory[invoice_no],SMALL(IF(ISNUMBER(MATCH(orderHistory[customer],$D$9,0)*MATCH(orderHistory[status],$D$11,0)*MATCH(orderHistory[order_type],$D$13,0)),MATCH(ROW(orderHistory[customer]),ROW(orderHistory[customer])),""),ROWS($A$15:A44)+$B$3))))),"")=0,"",IFERROR(IF($D$9="",IF($D$11="",IF($D$13="",INDEX(orderHistory[invoice_no],SMALL(MATCH(ROW(orderHistory[customer]),ROW(orderHistory[customer])),ROWS($A$15:A44)+$B$3)),INDEX(orderHistory[invoice_no],SMALL(IF(ISNUMBER(MATCH(orderHistory[order_type],$D$13,0)),MATCH(ROW(orderHistory[customer]),ROW(orderHistory[customer])),""),ROWS($A$15:A44)+$B$3))),IF($D$13="",INDEX(orderHistory[invoice_no],SMALL(IF(ISNUMBER(MATCH(orderHistory[status],$D$11,0)),MATCH(ROW(orderHistory[customer]),ROW(orderHistory[customer])),""),ROWS($A$15:A44)+$B$3)),INDEX(orderHistory[invoice_no],SMALL(IF(ISNUMBER(MATCH(orderHistory[status],$D$11,0)*MATCH(orderHistory[order_type],$D$13,0)),MATCH(ROW(orderHistory[customer]),ROW(orderHistory[customer])),""),ROWS($A$15:A44)+$B$3)))),IF($D$11="",IF($D$13="",INDEX(orderHistory[invoice_no],SMALL(IF(ISNUMBER(MATCH(orderHistory[customer],$D$9,0)),MATCH(ROW(orderHistory[customer]),ROW(orderHistory[customer])),""),ROWS($A$15:A44)+$B$3)),INDEX(orderHistory[invoice_no],SMALL(IF(ISNUMBER(MATCH(orderHistory[customer],$D$9,0)*MATCH(orderHistory[order_type],$D$13,0)),MATCH(ROW(orderHistory[customer]),ROW(orderHistory[customer])),""),ROWS($A$15:A44)+$B$3))),IF($D$13="",INDEX(orderHistory[invoice_no],SMALL(IF(ISNUMBER(MATCH(orderHistory[customer],$D$9,0)*MATCH(orderHistory[status],$D$11,0)),MATCH(ROW(orderHistory[customer]),ROW(orderHistory[customer])),""),ROWS($A$15:A44)+$B$3)),INDEX(orderHistory[invoice_no],SMALL(IF(ISNUMBER(MATCH(orderHistory[customer],$D$9,0)*MATCH(orderHistory[status],$D$11,0)*MATCH(orderHistory[order_type],$D$13,0)),MATCH(ROW(orderHistory[customer]),ROW(orderHistory[customer])),""),ROWS($A$15:A44)+$B$3))))),""))</f>
        <v/>
      </c>
      <c r="Q39" s="381" t="str">
        <f t="array" ref="Q39">IF(IFERROR(IF($D$9="",IF($D$11="",IF($D$13="",INDEX(orderHistory[invoice_date],SMALL(MATCH(ROW(orderHistory[customer]),ROW(orderHistory[customer])),ROWS($A$15:A44)+$B$3)),INDEX(orderHistory[invoice_date],SMALL(IF(ISNUMBER(MATCH(orderHistory[order_type],$D$13,0)),MATCH(ROW(orderHistory[customer]),ROW(orderHistory[customer])),""),ROWS($A$15:A44)+$B$3))),IF($D$13="",INDEX(orderHistory[invoice_date],SMALL(IF(ISNUMBER(MATCH(orderHistory[status],$D$11,0)),MATCH(ROW(orderHistory[customer]),ROW(orderHistory[customer])),""),ROWS($A$15:A44)+$B$3)),INDEX(orderHistory[invoice_date],SMALL(IF(ISNUMBER(MATCH(orderHistory[status],$D$11,0)*MATCH(orderHistory[order_type],$D$13,0)),MATCH(ROW(orderHistory[customer]),ROW(orderHistory[customer])),""),ROWS($A$15:A44)+$B$3)))),IF($D$11="",IF($D$13="",INDEX(orderHistory[invoice_date],SMALL(IF(ISNUMBER(MATCH(orderHistory[customer],$D$9,0)),MATCH(ROW(orderHistory[customer]),ROW(orderHistory[customer])),""),ROWS($A$15:A44)+$B$3)),INDEX(orderHistory[invoice_date],SMALL(IF(ISNUMBER(MATCH(orderHistory[customer],$D$9,0)*MATCH(orderHistory[order_type],$D$13,0)),MATCH(ROW(orderHistory[customer]),ROW(orderHistory[customer])),""),ROWS($A$15:A44)+$B$3))),IF($D$13="",INDEX(orderHistory[invoice_date],SMALL(IF(ISNUMBER(MATCH(orderHistory[customer],$D$9,0)*MATCH(orderHistory[status],$D$11,0)),MATCH(ROW(orderHistory[customer]),ROW(orderHistory[customer])),""),ROWS($A$15:A44)+$B$3)),INDEX(orderHistory[invoice_date],SMALL(IF(ISNUMBER(MATCH(orderHistory[customer],$D$9,0)*MATCH(orderHistory[status],$D$11,0)*MATCH(orderHistory[order_type],$D$13,0)),MATCH(ROW(orderHistory[customer]),ROW(orderHistory[customer])),""),ROWS($A$15:A44)+$B$3))))),"")=0,"",IFERROR(IF($D$9="",IF($D$11="",IF($D$13="",INDEX(orderHistory[invoice_date],SMALL(MATCH(ROW(orderHistory[customer]),ROW(orderHistory[customer])),ROWS($A$15:A44)+$B$3)),INDEX(orderHistory[invoice_date],SMALL(IF(ISNUMBER(MATCH(orderHistory[order_type],$D$13,0)),MATCH(ROW(orderHistory[customer]),ROW(orderHistory[customer])),""),ROWS($A$15:A44)+$B$3))),IF($D$13="",INDEX(orderHistory[invoice_date],SMALL(IF(ISNUMBER(MATCH(orderHistory[status],$D$11,0)),MATCH(ROW(orderHistory[customer]),ROW(orderHistory[customer])),""),ROWS($A$15:A44)+$B$3)),INDEX(orderHistory[invoice_date],SMALL(IF(ISNUMBER(MATCH(orderHistory[status],$D$11,0)*MATCH(orderHistory[order_type],$D$13,0)),MATCH(ROW(orderHistory[customer]),ROW(orderHistory[customer])),""),ROWS($A$15:A44)+$B$3)))),IF($D$11="",IF($D$13="",INDEX(orderHistory[invoice_date],SMALL(IF(ISNUMBER(MATCH(orderHistory[customer],$D$9,0)),MATCH(ROW(orderHistory[customer]),ROW(orderHistory[customer])),""),ROWS($A$15:A44)+$B$3)),INDEX(orderHistory[invoice_date],SMALL(IF(ISNUMBER(MATCH(orderHistory[customer],$D$9,0)*MATCH(orderHistory[order_type],$D$13,0)),MATCH(ROW(orderHistory[customer]),ROW(orderHistory[customer])),""),ROWS($A$15:A44)+$B$3))),IF($D$13="",INDEX(orderHistory[invoice_date],SMALL(IF(ISNUMBER(MATCH(orderHistory[customer],$D$9,0)*MATCH(orderHistory[status],$D$11,0)),MATCH(ROW(orderHistory[customer]),ROW(orderHistory[customer])),""),ROWS($A$15:A44)+$B$3)),INDEX(orderHistory[invoice_date],SMALL(IF(ISNUMBER(MATCH(orderHistory[customer],$D$9,0)*MATCH(orderHistory[status],$D$11,0)*MATCH(orderHistory[order_type],$D$13,0)),MATCH(ROW(orderHistory[customer]),ROW(orderHistory[customer])),""),ROWS($A$15:A44)+$B$3))))),""))</f>
        <v/>
      </c>
      <c r="R39" s="377" t="str">
        <f t="array" ref="R39">IFERROR(IF($D$9="",IF($D$11="",IF($D$13="",INDEX(orderHistory[inv_amount],SMALL(MATCH(ROW(orderHistory[customer]),ROW(orderHistory[customer])),ROWS($A$15:A44)+$B$3)),INDEX(orderHistory[inv_amount],SMALL(IF(ISNUMBER(MATCH(orderHistory[order_type],$D$13,0)),MATCH(ROW(orderHistory[customer]),ROW(orderHistory[customer])),""),ROWS($A$15:A44)+$B$3))),IF($D$13="",INDEX(orderHistory[inv_amount],SMALL(IF(ISNUMBER(MATCH(orderHistory[status],$D$11,0)),MATCH(ROW(orderHistory[customer]),ROW(orderHistory[customer])),""),ROWS($A$15:A44)+$B$3)),INDEX(orderHistory[inv_amount],SMALL(IF(ISNUMBER(MATCH(orderHistory[status],$D$11,0)*MATCH(orderHistory[order_type],$D$13,0)),MATCH(ROW(orderHistory[customer]),ROW(orderHistory[customer])),""),ROWS($A$15:A44)+$B$3)))),IF($D$11="",IF($D$13="",INDEX(orderHistory[inv_amount],SMALL(IF(ISNUMBER(MATCH(orderHistory[customer],$D$9,0)),MATCH(ROW(orderHistory[customer]),ROW(orderHistory[customer])),""),ROWS($A$15:A44)+$B$3)),INDEX(orderHistory[inv_amount],SMALL(IF(ISNUMBER(MATCH(orderHistory[customer],$D$9,0)*MATCH(orderHistory[order_type],$D$13,0)),MATCH(ROW(orderHistory[customer]),ROW(orderHistory[customer])),""),ROWS($A$15:A44)+$B$3))),IF($D$13="",INDEX(orderHistory[inv_amount],SMALL(IF(ISNUMBER(MATCH(orderHistory[customer],$D$9,0)*MATCH(orderHistory[status],$D$11,0)),MATCH(ROW(orderHistory[customer]),ROW(orderHistory[customer])),""),ROWS($A$15:A44)+$B$3)),INDEX(orderHistory[inv_amount],SMALL(IF(ISNUMBER(MATCH(orderHistory[customer],$D$9,0)*MATCH(orderHistory[status],$D$11,0)*MATCH(orderHistory[order_type],$D$13,0)),MATCH(ROW(orderHistory[customer]),ROW(orderHistory[customer])),""),ROWS($A$15:A44)+$B$3))))),"")</f>
        <v/>
      </c>
      <c r="S39" s="383" t="str">
        <f t="shared" si="0"/>
        <v/>
      </c>
      <c r="T39" s="385" t="str">
        <f t="array" ref="T39">IFERROR(IF($D$9="",IF($D$11="",IF($D$13="",INDEX(orderHistory[payed],SMALL(MATCH(ROW(orderHistory[customer]),ROW(orderHistory[customer])),ROWS($A$15:A44)+$B$3)),INDEX(orderHistory[payed],SMALL(IF(ISNUMBER(MATCH(orderHistory[order_type],$D$13,0)),MATCH(ROW(orderHistory[customer]),ROW(orderHistory[customer])),""),ROWS($A$15:A44)+$B$3))),IF($D$13="",INDEX(orderHistory[payed],SMALL(IF(ISNUMBER(MATCH(orderHistory[status],$D$11,0)),MATCH(ROW(orderHistory[customer]),ROW(orderHistory[customer])),""),ROWS($A$15:A44)+$B$3)),INDEX(orderHistory[payed],SMALL(IF(ISNUMBER(MATCH(orderHistory[status],$D$11,0)*MATCH(orderHistory[order_type],$D$13,0)),MATCH(ROW(orderHistory[customer]),ROW(orderHistory[customer])),""),ROWS($A$15:A44)+$B$3)))),IF($D$11="",IF($D$13="",INDEX(orderHistory[payed],SMALL(IF(ISNUMBER(MATCH(orderHistory[customer],$D$9,0)),MATCH(ROW(orderHistory[customer]),ROW(orderHistory[customer])),""),ROWS($A$15:A44)+$B$3)),INDEX(orderHistory[payed],SMALL(IF(ISNUMBER(MATCH(orderHistory[customer],$D$9,0)*MATCH(orderHistory[order_type],$D$13,0)),MATCH(ROW(orderHistory[customer]),ROW(orderHistory[customer])),""),ROWS($A$15:A44)+$B$3))),IF($D$13="",INDEX(orderHistory[payed],SMALL(IF(ISNUMBER(MATCH(orderHistory[customer],$D$9,0)*MATCH(orderHistory[status],$D$11,0)),MATCH(ROW(orderHistory[customer]),ROW(orderHistory[customer])),""),ROWS($A$15:A44)+$B$3)),INDEX(orderHistory[payed],SMALL(IF(ISNUMBER(MATCH(orderHistory[customer],$D$9,0)*MATCH(orderHistory[status],$D$11,0)*MATCH(orderHistory[order_type],$D$13,0)),MATCH(ROW(orderHistory[customer]),ROW(orderHistory[customer])),""),ROWS($A$15:A44)+$B$3))))),"")</f>
        <v/>
      </c>
      <c r="U39" s="386" t="str">
        <f t="array" ref="U39">IFERROR(IF($D$9="",IF($D$11="",IF($D$13="",INDEX(orderHistory[shipping_method],SMALL(MATCH(ROW(orderHistory[customer]),ROW(orderHistory[customer])),ROWS($A$15:A44)+$B$3)),INDEX(orderHistory[shipping_method],SMALL(IF(ISNUMBER(MATCH(orderHistory[order_type],$D$13,0)),MATCH(ROW(orderHistory[customer]),ROW(orderHistory[customer])),""),ROWS($A$15:A44)+$B$3))),IF($D$13="",INDEX(orderHistory[shipping_method],SMALL(IF(ISNUMBER(MATCH(orderHistory[status],$D$11,0)),MATCH(ROW(orderHistory[customer]),ROW(orderHistory[customer])),""),ROWS($A$15:A44)+$B$3)),INDEX(orderHistory[shipping_method],SMALL(IF(ISNUMBER(MATCH(orderHistory[status],$D$11,0)*MATCH(orderHistory[order_type],$D$13,0)),MATCH(ROW(orderHistory[customer]),ROW(orderHistory[customer])),""),ROWS($A$15:A44)+$B$3)))),IF($D$11="",IF($D$13="",INDEX(orderHistory[shipping_method],SMALL(IF(ISNUMBER(MATCH(orderHistory[customer],$D$9,0)),MATCH(ROW(orderHistory[customer]),ROW(orderHistory[customer])),""),ROWS($A$15:A44)+$B$3)),INDEX(orderHistory[shipping_method],SMALL(IF(ISNUMBER(MATCH(orderHistory[customer],$D$9,0)*MATCH(orderHistory[order_type],$D$13,0)),MATCH(ROW(orderHistory[customer]),ROW(orderHistory[customer])),""),ROWS($A$15:A44)+$B$3))),IF($D$13="",INDEX(orderHistory[shipping_method],SMALL(IF(ISNUMBER(MATCH(orderHistory[customer],$D$9,0)*MATCH(orderHistory[status],$D$11,0)),MATCH(ROW(orderHistory[customer]),ROW(orderHistory[customer])),""),ROWS($A$15:A44)+$B$3)),INDEX(orderHistory[shipping_method],SMALL(IF(ISNUMBER(MATCH(orderHistory[customer],$D$9,0)*MATCH(orderHistory[status],$D$11,0)*MATCH(orderHistory[order_type],$D$13,0)),MATCH(ROW(orderHistory[customer]),ROW(orderHistory[customer])),""),ROWS($A$15:A44)+$B$3))))),"")</f>
        <v/>
      </c>
      <c r="V39" s="387" t="str">
        <f t="array" ref="V39">IFERROR(IF($D$9="",IF($D$11="",IF($D$13="",INDEX(orderHistory[status],SMALL(MATCH(ROW(orderHistory[customer]),ROW(orderHistory[customer])),ROWS($A$15:A44)+$B$3)),INDEX(orderHistory[status],SMALL(IF(ISNUMBER(MATCH(orderHistory[order_type],$D$13,0)),MATCH(ROW(orderHistory[customer]),ROW(orderHistory[customer])),""),ROWS($A$15:A44)+$B$3))),IF($D$13="",INDEX(orderHistory[status],SMALL(IF(ISNUMBER(MATCH(orderHistory[status],$D$11,0)),MATCH(ROW(orderHistory[customer]),ROW(orderHistory[customer])),""),ROWS($A$15:A44)+$B$3)),INDEX(orderHistory[status],SMALL(IF(ISNUMBER(MATCH(orderHistory[status],$D$11,0)*MATCH(orderHistory[order_type],$D$13,0)),MATCH(ROW(orderHistory[customer]),ROW(orderHistory[customer])),""),ROWS($A$15:A44)+$B$3)))),IF($D$11="",IF($D$13="",INDEX(orderHistory[status],SMALL(IF(ISNUMBER(MATCH(orderHistory[customer],$D$9,0)),MATCH(ROW(orderHistory[customer]),ROW(orderHistory[customer])),""),ROWS($A$15:A44)+$B$3)),INDEX(orderHistory[status],SMALL(IF(ISNUMBER(MATCH(orderHistory[customer],$D$9,0)*MATCH(orderHistory[order_type],$D$13,0)),MATCH(ROW(orderHistory[customer]),ROW(orderHistory[customer])),""),ROWS($A$15:A44)+$B$3))),IF($D$13="",INDEX(orderHistory[status],SMALL(IF(ISNUMBER(MATCH(orderHistory[customer],$D$9,0)*MATCH(orderHistory[status],$D$11,0)),MATCH(ROW(orderHistory[customer]),ROW(orderHistory[customer])),""),ROWS($A$15:A44)+$B$3)),INDEX(orderHistory[status],SMALL(IF(ISNUMBER(MATCH(orderHistory[customer],$D$9,0)*MATCH(orderHistory[status],$D$11,0)*MATCH(orderHistory[order_type],$D$13,0)),MATCH(ROW(orderHistory[customer]),ROW(orderHistory[customer])),""),ROWS($A$15:A44)+$B$3))))),"")</f>
        <v/>
      </c>
      <c r="W39" s="187"/>
      <c r="AQ39" s="125" t="s">
        <v>737</v>
      </c>
      <c r="AR39" s="679">
        <v>0</v>
      </c>
      <c r="AS39" s="134" t="s">
        <v>860</v>
      </c>
      <c r="AT39" s="268" t="b">
        <v>0</v>
      </c>
      <c r="AU39" s="121"/>
      <c r="AW39" s="131"/>
      <c r="AX39" s="120"/>
      <c r="AY39" s="120"/>
      <c r="AZ39" s="120"/>
      <c r="BA39" s="120"/>
      <c r="BB39" s="120"/>
      <c r="BC39" s="120"/>
      <c r="BD39" s="120"/>
      <c r="BE39" s="120"/>
      <c r="BF39" s="120"/>
      <c r="BG39" s="175"/>
      <c r="BH39" s="120"/>
      <c r="BI39" s="291"/>
      <c r="BJ39" s="121"/>
      <c r="BK39" s="146"/>
      <c r="BL39" s="147"/>
      <c r="BM39" s="148"/>
      <c r="BN39" s="147"/>
      <c r="BO39" s="148"/>
      <c r="BZ39" s="304"/>
      <c r="CA39" s="270" t="str">
        <f>IF(BZ39="","",VLOOKUP(BZ39,bhpc_data[],7,FALSE))</f>
        <v/>
      </c>
      <c r="CB39" s="296"/>
      <c r="CC39" s="642"/>
      <c r="CD39" s="297"/>
      <c r="CE39" s="645"/>
      <c r="CF39" s="298"/>
      <c r="CG39" s="301" t="str">
        <f>IFERROR(ROUNDUP(CB39/VLOOKUP(BZ39,bhpc_data[],9,FALSE),0)+ROUNDUP(CD39/VLOOKUP(BZ39,bhpc_data[],9,FALSE),0),"")</f>
        <v/>
      </c>
      <c r="CH39" s="302" t="str">
        <f>IFERROR(ROUNDUP(CD39/VLOOKUP(BZ39,bhpc_data[],9,FALSE),0),"")</f>
        <v/>
      </c>
      <c r="CI39" s="302" t="str">
        <f>IFERROR(ROUNDUP(CF39/VLOOKUP(BZ39,bhpc_data[],9,FALSE),0),"")</f>
        <v/>
      </c>
      <c r="CJ39" s="302" t="str">
        <f>IFERROR(((CB39+CD39+CF39)/VLOOKUP(BZ39,bhpc_data[],9,FALSE))*VLOOKUP(BZ39,bhpc_data[],17,FALSE),"")</f>
        <v/>
      </c>
      <c r="CK39" s="302" t="str">
        <f>IFERROR(((CB39+CD39+CF39)/VLOOKUP(BZ39,bhpc_data[],9,FALSE))*VLOOKUP(BZ39,bhpc_data[],18,FALSE),"")</f>
        <v/>
      </c>
      <c r="CL39" s="346" t="str">
        <f>IFERROR((CB39+CD39)/VLOOKUP(BZ39,bhpc_data[],9,FALSE)*VLOOKUP(BZ39,bhpc_data[],14,FALSE)*VLOOKUP(BZ39,bhpc_data[],15,FALSE)*VLOOKUP(BZ39,bhpc_data[],16,FALSE)/1000000000,"")</f>
        <v/>
      </c>
      <c r="CM39" s="409" t="str">
        <f>IFERROR(VLOOKUP(BZ39,bhpc_data[],2,FALSE),"")</f>
        <v/>
      </c>
      <c r="CN39" s="409" t="str">
        <f>IFERROR(VLOOKUP(BZ39,bhpc_data[],19,FALSE),"")</f>
        <v/>
      </c>
      <c r="CO39" s="653" t="str">
        <f>IFERROR(VLOOKUP(BZ39,bhpc_data[],6,FALSE),"")</f>
        <v/>
      </c>
      <c r="CP39" s="654" t="str">
        <f>IFERROR(VLOOKUP(BZ39,inventory[],4,FALSE),"")</f>
        <v/>
      </c>
      <c r="CQ39" s="655" t="str">
        <f>IFERROR(IF(BZ39="","",IF($BX$15="SALE",VLOOKUP(BZ39,inventory[],5,FALSE),IF($BX$15="SAMPLING",VLOOKUP(BZ39,inventory[],5,FALSE),""))),"")</f>
        <v/>
      </c>
      <c r="CR39" s="656" t="str">
        <f>IFERROR(IF(BZ39="","",(CB39+CD39+CF39)*CQ39),"")</f>
        <v/>
      </c>
      <c r="CS39" s="557" t="str">
        <f>IF(BZ39="","",CB39*CC39+CD39*CE39)</f>
        <v/>
      </c>
      <c r="CU39" s="167"/>
      <c r="CV39" s="122"/>
      <c r="CW39" s="122"/>
      <c r="CX39" s="122"/>
      <c r="CY39" s="122"/>
      <c r="CZ39" s="123"/>
      <c r="DA39" s="540" t="str">
        <f>IFERROR(VLOOKUP(BZ39,bhpc_data[],22,FALSE),"")</f>
        <v/>
      </c>
      <c r="DF39" s="131"/>
      <c r="DG39" s="120"/>
      <c r="DH39" s="162"/>
      <c r="DI39" s="120"/>
      <c r="DJ39" s="120"/>
      <c r="DK39" s="120"/>
      <c r="DL39" s="120"/>
      <c r="DM39" s="120"/>
      <c r="DN39" s="292"/>
      <c r="DO39" s="291"/>
      <c r="DP39" s="291"/>
      <c r="DQ39" s="291"/>
      <c r="DR39" s="291"/>
      <c r="DS39" s="291"/>
      <c r="DT39" s="291"/>
      <c r="DU39" s="291"/>
      <c r="DV39" s="121"/>
      <c r="EE39" s="453" t="s">
        <v>102</v>
      </c>
      <c r="EF39" s="447" t="str">
        <f>VLOOKUP(EE39,bhpc_data[],7,FALSE)</f>
        <v>BHPC GIFT SET WOMEN 9 EDP 100ML + DEO 150ML</v>
      </c>
      <c r="EG39" s="555">
        <f>IFERROR(VLOOKUP(EE39,inventory[],4,FALSE),0)</f>
        <v>0</v>
      </c>
      <c r="EH39" s="555">
        <f>IFERROR(VLOOKUP(warehouse[[#This Row],[SKU]],$EQ$10:$ES$38,3,FALSE),0)</f>
        <v>0</v>
      </c>
      <c r="EI39" s="555">
        <f>IFERROR(VLOOKUP(warehouse[[#This Row],[SKU]],$EM$10:$EO$61,3,FALSE),0)</f>
        <v>6</v>
      </c>
      <c r="EJ39" s="555">
        <f>warehouse[[#This Row],[T-1]]+warehouse[[#This Row],[SUPPLY]]-warehouse[[#This Row],[SALE + SAMPLING]]</f>
        <v>-6</v>
      </c>
      <c r="EK39" s="449"/>
      <c r="EM39" s="74" t="s">
        <v>121</v>
      </c>
      <c r="EN39" s="74" t="s">
        <v>122</v>
      </c>
      <c r="EO39" s="431">
        <v>5520</v>
      </c>
    </row>
    <row r="40" spans="6:149" ht="15" customHeight="1" thickBot="1">
      <c r="F40" s="131"/>
      <c r="G40" s="968" t="str">
        <f>IF(VLOOKUP($B$4,orderHistory[],14,FALSE)=0,"",VLOOKUP($B$4,orderHistory[],14,FALSE))</f>
        <v/>
      </c>
      <c r="H40" s="969"/>
      <c r="I40" s="970"/>
      <c r="J40" s="121"/>
      <c r="L40" s="274" t="str">
        <f t="array" ref="L40">IFERROR(IF($D$9="",IF($D$11="",IF($D$13="",INDEX(orderHistory[customer],SMALL(MATCH(ROW(orderHistory[customer]),ROW(orderHistory[customer])),ROWS($A$15:A45)+$B$3)),INDEX(orderHistory[customer],SMALL(IF(ISNUMBER(MATCH(orderHistory[order_type],$D$13,0)),MATCH(ROW(orderHistory[customer]),ROW(orderHistory[customer])),""),ROWS($A$15:A45)+$B$3))),IF($D$13="",INDEX(orderHistory[customer],SMALL(IF(ISNUMBER(MATCH(orderHistory[status],$D$11,0)),MATCH(ROW(orderHistory[customer]),ROW(orderHistory[customer])),""),ROWS($A$15:A45)+$B$3)),INDEX(orderHistory[customer],SMALL(IF(ISNUMBER(MATCH(orderHistory[status],$D$11,0)*MATCH(orderHistory[order_type],$D$13,0)),MATCH(ROW(orderHistory[customer]),ROW(orderHistory[customer])),""),ROWS($A$15:A45)+$B$3)))),IF($D$11="",IF($D$13="",INDEX(orderHistory[customer],SMALL(IF(ISNUMBER(MATCH(orderHistory[customer],$D$9,0)),MATCH(ROW(orderHistory[customer]),ROW(orderHistory[customer])),""),ROWS($A$15:A45)+$B$3)),INDEX(orderHistory[customer],SMALL(IF(ISNUMBER(MATCH(orderHistory[customer],$D$9,0)*MATCH(orderHistory[order_type],$D$13,0)),MATCH(ROW(orderHistory[customer]),ROW(orderHistory[customer])),""),ROWS($A$15:A45)+$B$3))),IF($D$13="",INDEX(orderHistory[customer],SMALL(IF(ISNUMBER(MATCH(orderHistory[customer],$D$9,0)*MATCH(orderHistory[status],$D$11,0)),MATCH(ROW(orderHistory[customer]),ROW(orderHistory[customer])),""),ROWS($A$15:A45)+$B$3)),INDEX(orderHistory[customer],SMALL(IF(ISNUMBER(MATCH(orderHistory[customer],$D$9,0)*MATCH(orderHistory[status],$D$11,0)*MATCH(orderHistory[order_type],$D$13,0)),MATCH(ROW(orderHistory[customer]),ROW(orderHistory[customer])),""),ROWS($A$15:A45)+$B$3))))),"")</f>
        <v/>
      </c>
      <c r="M40" s="391" t="str">
        <f t="array" ref="M40">IFERROR(IF($D$9="",IF($D$11="",IF($D$13="",INDEX(orderHistory[order_no],SMALL(MATCH(ROW(orderHistory[customer]),ROW(orderHistory[customer])),ROWS($A$15:A45)+$B$3)),INDEX(orderHistory[order_no],SMALL(IF(ISNUMBER(MATCH(orderHistory[order_type],$D$13,0)),MATCH(ROW(orderHistory[customer]),ROW(orderHistory[customer])),""),ROWS($A$15:A45)+$B$3))),IF($D$13="",INDEX(orderHistory[order_no],SMALL(IF(ISNUMBER(MATCH(orderHistory[status],$D$11,0)),MATCH(ROW(orderHistory[customer]),ROW(orderHistory[customer])),""),ROWS($A$15:A45)+$B$3)),INDEX(orderHistory[order_no],SMALL(IF(ISNUMBER(MATCH(orderHistory[status],$D$11,0)*MATCH(orderHistory[order_type],$D$13,0)),MATCH(ROW(orderHistory[customer]),ROW(orderHistory[customer])),""),ROWS($A$15:A45)+$B$3)))),IF($D$11="",IF($D$13="",INDEX(orderHistory[order_no],SMALL(IF(ISNUMBER(MATCH(orderHistory[customer],$D$9,0)),MATCH(ROW(orderHistory[customer]),ROW(orderHistory[customer])),""),ROWS($A$15:A45)+$B$3)),INDEX(orderHistory[order_no],SMALL(IF(ISNUMBER(MATCH(orderHistory[customer],$D$9,0)*MATCH(orderHistory[order_type],$D$13,0)),MATCH(ROW(orderHistory[customer]),ROW(orderHistory[customer])),""),ROWS($A$15:A45)+$B$3))),IF($D$13="",INDEX(orderHistory[order_no],SMALL(IF(ISNUMBER(MATCH(orderHistory[customer],$D$9,0)*MATCH(orderHistory[status],$D$11,0)),MATCH(ROW(orderHistory[customer]),ROW(orderHistory[customer])),""),ROWS($A$15:A45)+$B$3)),INDEX(orderHistory[order_no],SMALL(IF(ISNUMBER(MATCH(orderHistory[customer],$D$9,0)*MATCH(orderHistory[status],$D$11,0)*MATCH(orderHistory[order_type],$D$13,0)),MATCH(ROW(orderHistory[customer]),ROW(orderHistory[customer])),""),ROWS($A$15:A45)+$B$3))))),"")</f>
        <v/>
      </c>
      <c r="N40" s="386" t="str">
        <f t="array" ref="N40">IFERROR(IF($D$9="",IF($D$11="",IF($D$13="",INDEX(orderHistory[order_type],SMALL(MATCH(ROW(orderHistory[customer]),ROW(orderHistory[customer])),ROWS($A$15:A45)+$B$3)),INDEX(orderHistory[order_type],SMALL(IF(ISNUMBER(MATCH(orderHistory[order_type],$D$13,0)),MATCH(ROW(orderHistory[customer]),ROW(orderHistory[customer])),""),ROWS($A$15:A45)+$B$3))),IF($D$13="",INDEX(orderHistory[order_type],SMALL(IF(ISNUMBER(MATCH(orderHistory[status],$D$11,0)),MATCH(ROW(orderHistory[customer]),ROW(orderHistory[customer])),""),ROWS($A$15:A45)+$B$3)),INDEX(orderHistory[order_type],SMALL(IF(ISNUMBER(MATCH(orderHistory[status],$D$11,0)*MATCH(orderHistory[order_type],$D$13,0)),MATCH(ROW(orderHistory[customer]),ROW(orderHistory[customer])),""),ROWS($A$15:A45)+$B$3)))),IF($D$11="",IF($D$13="",INDEX(orderHistory[order_type],SMALL(IF(ISNUMBER(MATCH(orderHistory[customer],$D$9,0)),MATCH(ROW(orderHistory[customer]),ROW(orderHistory[customer])),""),ROWS($A$15:A45)+$B$3)),INDEX(orderHistory[order_type],SMALL(IF(ISNUMBER(MATCH(orderHistory[customer],$D$9,0)*MATCH(orderHistory[order_type],$D$13,0)),MATCH(ROW(orderHistory[customer]),ROW(orderHistory[customer])),""),ROWS($A$15:A45)+$B$3))),IF($D$13="",INDEX(orderHistory[order_type],SMALL(IF(ISNUMBER(MATCH(orderHistory[customer],$D$9,0)*MATCH(orderHistory[status],$D$11,0)),MATCH(ROW(orderHistory[customer]),ROW(orderHistory[customer])),""),ROWS($A$15:A45)+$B$3)),INDEX(orderHistory[order_type],SMALL(IF(ISNUMBER(MATCH(orderHistory[customer],$D$9,0)*MATCH(orderHistory[status],$D$11,0)*MATCH(orderHistory[order_type],$D$13,0)),MATCH(ROW(orderHistory[customer]),ROW(orderHistory[customer])),""),ROWS($A$15:A45)+$B$3))))),"")</f>
        <v/>
      </c>
      <c r="O40" s="275" t="str">
        <f t="array" ref="O40">IFERROR(IF($D$9="",IF($D$11="",IF($D$13="",INDEX(orderHistory[order_date],SMALL(MATCH(ROW(orderHistory[customer]),ROW(orderHistory[customer])),ROWS($A$15:A45)+$B$3)),INDEX(orderHistory[order_date],SMALL(IF(ISNUMBER(MATCH(orderHistory[order_type],$D$13,0)),MATCH(ROW(orderHistory[customer]),ROW(orderHistory[customer])),""),ROWS($A$15:A45)+$B$3))),IF($D$13="",INDEX(orderHistory[order_date],SMALL(IF(ISNUMBER(MATCH(orderHistory[status],$D$11,0)),MATCH(ROW(orderHistory[customer]),ROW(orderHistory[customer])),""),ROWS($A$15:A45)+$B$3)),INDEX(orderHistory[order_date],SMALL(IF(ISNUMBER(MATCH(orderHistory[status],$D$11,0)*MATCH(orderHistory[order_type],$D$13,0)),MATCH(ROW(orderHistory[customer]),ROW(orderHistory[customer])),""),ROWS($A$15:A45)+$B$3)))),IF($D$11="",IF($D$13="",INDEX(orderHistory[order_date],SMALL(IF(ISNUMBER(MATCH(orderHistory[customer],$D$9,0)),MATCH(ROW(orderHistory[customer]),ROW(orderHistory[customer])),""),ROWS($A$15:A45)+$B$3)),INDEX(orderHistory[order_date],SMALL(IF(ISNUMBER(MATCH(orderHistory[customer],$D$9,0)*MATCH(orderHistory[order_type],$D$13,0)),MATCH(ROW(orderHistory[customer]),ROW(orderHistory[customer])),""),ROWS($A$15:A45)+$B$3))),IF($D$13="",INDEX(orderHistory[order_date],SMALL(IF(ISNUMBER(MATCH(orderHistory[customer],$D$9,0)*MATCH(orderHistory[status],$D$11,0)),MATCH(ROW(orderHistory[customer]),ROW(orderHistory[customer])),""),ROWS($A$15:A45)+$B$3)),INDEX(orderHistory[order_date],SMALL(IF(ISNUMBER(MATCH(orderHistory[customer],$D$9,0)*MATCH(orderHistory[status],$D$11,0)*MATCH(orderHistory[order_type],$D$13,0)),MATCH(ROW(orderHistory[customer]),ROW(orderHistory[customer])),""),ROWS($A$15:A45)+$B$3))))),"")</f>
        <v/>
      </c>
      <c r="P40" s="379" t="str">
        <f t="array" ref="P40">IF(IFERROR(IF($D$9="",IF($D$11="",IF($D$13="",INDEX(orderHistory[invoice_no],SMALL(MATCH(ROW(orderHistory[customer]),ROW(orderHistory[customer])),ROWS($A$15:A45)+$B$3)),INDEX(orderHistory[invoice_no],SMALL(IF(ISNUMBER(MATCH(orderHistory[order_type],$D$13,0)),MATCH(ROW(orderHistory[customer]),ROW(orderHistory[customer])),""),ROWS($A$15:A45)+$B$3))),IF($D$13="",INDEX(orderHistory[invoice_no],SMALL(IF(ISNUMBER(MATCH(orderHistory[status],$D$11,0)),MATCH(ROW(orderHistory[customer]),ROW(orderHistory[customer])),""),ROWS($A$15:A45)+$B$3)),INDEX(orderHistory[invoice_no],SMALL(IF(ISNUMBER(MATCH(orderHistory[status],$D$11,0)*MATCH(orderHistory[order_type],$D$13,0)),MATCH(ROW(orderHistory[customer]),ROW(orderHistory[customer])),""),ROWS($A$15:A45)+$B$3)))),IF($D$11="",IF($D$13="",INDEX(orderHistory[invoice_no],SMALL(IF(ISNUMBER(MATCH(orderHistory[customer],$D$9,0)),MATCH(ROW(orderHistory[customer]),ROW(orderHistory[customer])),""),ROWS($A$15:A45)+$B$3)),INDEX(orderHistory[invoice_no],SMALL(IF(ISNUMBER(MATCH(orderHistory[customer],$D$9,0)*MATCH(orderHistory[order_type],$D$13,0)),MATCH(ROW(orderHistory[customer]),ROW(orderHistory[customer])),""),ROWS($A$15:A45)+$B$3))),IF($D$13="",INDEX(orderHistory[invoice_no],SMALL(IF(ISNUMBER(MATCH(orderHistory[customer],$D$9,0)*MATCH(orderHistory[status],$D$11,0)),MATCH(ROW(orderHistory[customer]),ROW(orderHistory[customer])),""),ROWS($A$15:A45)+$B$3)),INDEX(orderHistory[invoice_no],SMALL(IF(ISNUMBER(MATCH(orderHistory[customer],$D$9,0)*MATCH(orderHistory[status],$D$11,0)*MATCH(orderHistory[order_type],$D$13,0)),MATCH(ROW(orderHistory[customer]),ROW(orderHistory[customer])),""),ROWS($A$15:A45)+$B$3))))),"")=0,"",IFERROR(IF($D$9="",IF($D$11="",IF($D$13="",INDEX(orderHistory[invoice_no],SMALL(MATCH(ROW(orderHistory[customer]),ROW(orderHistory[customer])),ROWS($A$15:A45)+$B$3)),INDEX(orderHistory[invoice_no],SMALL(IF(ISNUMBER(MATCH(orderHistory[order_type],$D$13,0)),MATCH(ROW(orderHistory[customer]),ROW(orderHistory[customer])),""),ROWS($A$15:A45)+$B$3))),IF($D$13="",INDEX(orderHistory[invoice_no],SMALL(IF(ISNUMBER(MATCH(orderHistory[status],$D$11,0)),MATCH(ROW(orderHistory[customer]),ROW(orderHistory[customer])),""),ROWS($A$15:A45)+$B$3)),INDEX(orderHistory[invoice_no],SMALL(IF(ISNUMBER(MATCH(orderHistory[status],$D$11,0)*MATCH(orderHistory[order_type],$D$13,0)),MATCH(ROW(orderHistory[customer]),ROW(orderHistory[customer])),""),ROWS($A$15:A45)+$B$3)))),IF($D$11="",IF($D$13="",INDEX(orderHistory[invoice_no],SMALL(IF(ISNUMBER(MATCH(orderHistory[customer],$D$9,0)),MATCH(ROW(orderHistory[customer]),ROW(orderHistory[customer])),""),ROWS($A$15:A45)+$B$3)),INDEX(orderHistory[invoice_no],SMALL(IF(ISNUMBER(MATCH(orderHistory[customer],$D$9,0)*MATCH(orderHistory[order_type],$D$13,0)),MATCH(ROW(orderHistory[customer]),ROW(orderHistory[customer])),""),ROWS($A$15:A45)+$B$3))),IF($D$13="",INDEX(orderHistory[invoice_no],SMALL(IF(ISNUMBER(MATCH(orderHistory[customer],$D$9,0)*MATCH(orderHistory[status],$D$11,0)),MATCH(ROW(orderHistory[customer]),ROW(orderHistory[customer])),""),ROWS($A$15:A45)+$B$3)),INDEX(orderHistory[invoice_no],SMALL(IF(ISNUMBER(MATCH(orderHistory[customer],$D$9,0)*MATCH(orderHistory[status],$D$11,0)*MATCH(orderHistory[order_type],$D$13,0)),MATCH(ROW(orderHistory[customer]),ROW(orderHistory[customer])),""),ROWS($A$15:A45)+$B$3))))),""))</f>
        <v/>
      </c>
      <c r="Q40" s="381" t="str">
        <f t="array" ref="Q40">IF(IFERROR(IF($D$9="",IF($D$11="",IF($D$13="",INDEX(orderHistory[invoice_date],SMALL(MATCH(ROW(orderHistory[customer]),ROW(orderHistory[customer])),ROWS($A$15:A45)+$B$3)),INDEX(orderHistory[invoice_date],SMALL(IF(ISNUMBER(MATCH(orderHistory[order_type],$D$13,0)),MATCH(ROW(orderHistory[customer]),ROW(orderHistory[customer])),""),ROWS($A$15:A45)+$B$3))),IF($D$13="",INDEX(orderHistory[invoice_date],SMALL(IF(ISNUMBER(MATCH(orderHistory[status],$D$11,0)),MATCH(ROW(orderHistory[customer]),ROW(orderHistory[customer])),""),ROWS($A$15:A45)+$B$3)),INDEX(orderHistory[invoice_date],SMALL(IF(ISNUMBER(MATCH(orderHistory[status],$D$11,0)*MATCH(orderHistory[order_type],$D$13,0)),MATCH(ROW(orderHistory[customer]),ROW(orderHistory[customer])),""),ROWS($A$15:A45)+$B$3)))),IF($D$11="",IF($D$13="",INDEX(orderHistory[invoice_date],SMALL(IF(ISNUMBER(MATCH(orderHistory[customer],$D$9,0)),MATCH(ROW(orderHistory[customer]),ROW(orderHistory[customer])),""),ROWS($A$15:A45)+$B$3)),INDEX(orderHistory[invoice_date],SMALL(IF(ISNUMBER(MATCH(orderHistory[customer],$D$9,0)*MATCH(orderHistory[order_type],$D$13,0)),MATCH(ROW(orderHistory[customer]),ROW(orderHistory[customer])),""),ROWS($A$15:A45)+$B$3))),IF($D$13="",INDEX(orderHistory[invoice_date],SMALL(IF(ISNUMBER(MATCH(orderHistory[customer],$D$9,0)*MATCH(orderHistory[status],$D$11,0)),MATCH(ROW(orderHistory[customer]),ROW(orderHistory[customer])),""),ROWS($A$15:A45)+$B$3)),INDEX(orderHistory[invoice_date],SMALL(IF(ISNUMBER(MATCH(orderHistory[customer],$D$9,0)*MATCH(orderHistory[status],$D$11,0)*MATCH(orderHistory[order_type],$D$13,0)),MATCH(ROW(orderHistory[customer]),ROW(orderHistory[customer])),""),ROWS($A$15:A45)+$B$3))))),"")=0,"",IFERROR(IF($D$9="",IF($D$11="",IF($D$13="",INDEX(orderHistory[invoice_date],SMALL(MATCH(ROW(orderHistory[customer]),ROW(orderHistory[customer])),ROWS($A$15:A45)+$B$3)),INDEX(orderHistory[invoice_date],SMALL(IF(ISNUMBER(MATCH(orderHistory[order_type],$D$13,0)),MATCH(ROW(orderHistory[customer]),ROW(orderHistory[customer])),""),ROWS($A$15:A45)+$B$3))),IF($D$13="",INDEX(orderHistory[invoice_date],SMALL(IF(ISNUMBER(MATCH(orderHistory[status],$D$11,0)),MATCH(ROW(orderHistory[customer]),ROW(orderHistory[customer])),""),ROWS($A$15:A45)+$B$3)),INDEX(orderHistory[invoice_date],SMALL(IF(ISNUMBER(MATCH(orderHistory[status],$D$11,0)*MATCH(orderHistory[order_type],$D$13,0)),MATCH(ROW(orderHistory[customer]),ROW(orderHistory[customer])),""),ROWS($A$15:A45)+$B$3)))),IF($D$11="",IF($D$13="",INDEX(orderHistory[invoice_date],SMALL(IF(ISNUMBER(MATCH(orderHistory[customer],$D$9,0)),MATCH(ROW(orderHistory[customer]),ROW(orderHistory[customer])),""),ROWS($A$15:A45)+$B$3)),INDEX(orderHistory[invoice_date],SMALL(IF(ISNUMBER(MATCH(orderHistory[customer],$D$9,0)*MATCH(orderHistory[order_type],$D$13,0)),MATCH(ROW(orderHistory[customer]),ROW(orderHistory[customer])),""),ROWS($A$15:A45)+$B$3))),IF($D$13="",INDEX(orderHistory[invoice_date],SMALL(IF(ISNUMBER(MATCH(orderHistory[customer],$D$9,0)*MATCH(orderHistory[status],$D$11,0)),MATCH(ROW(orderHistory[customer]),ROW(orderHistory[customer])),""),ROWS($A$15:A45)+$B$3)),INDEX(orderHistory[invoice_date],SMALL(IF(ISNUMBER(MATCH(orderHistory[customer],$D$9,0)*MATCH(orderHistory[status],$D$11,0)*MATCH(orderHistory[order_type],$D$13,0)),MATCH(ROW(orderHistory[customer]),ROW(orderHistory[customer])),""),ROWS($A$15:A45)+$B$3))))),""))</f>
        <v/>
      </c>
      <c r="R40" s="377" t="str">
        <f t="array" ref="R40">IFERROR(IF($D$9="",IF($D$11="",IF($D$13="",INDEX(orderHistory[inv_amount],SMALL(MATCH(ROW(orderHistory[customer]),ROW(orderHistory[customer])),ROWS($A$15:A45)+$B$3)),INDEX(orderHistory[inv_amount],SMALL(IF(ISNUMBER(MATCH(orderHistory[order_type],$D$13,0)),MATCH(ROW(orderHistory[customer]),ROW(orderHistory[customer])),""),ROWS($A$15:A45)+$B$3))),IF($D$13="",INDEX(orderHistory[inv_amount],SMALL(IF(ISNUMBER(MATCH(orderHistory[status],$D$11,0)),MATCH(ROW(orderHistory[customer]),ROW(orderHistory[customer])),""),ROWS($A$15:A45)+$B$3)),INDEX(orderHistory[inv_amount],SMALL(IF(ISNUMBER(MATCH(orderHistory[status],$D$11,0)*MATCH(orderHistory[order_type],$D$13,0)),MATCH(ROW(orderHistory[customer]),ROW(orderHistory[customer])),""),ROWS($A$15:A45)+$B$3)))),IF($D$11="",IF($D$13="",INDEX(orderHistory[inv_amount],SMALL(IF(ISNUMBER(MATCH(orderHistory[customer],$D$9,0)),MATCH(ROW(orderHistory[customer]),ROW(orderHistory[customer])),""),ROWS($A$15:A45)+$B$3)),INDEX(orderHistory[inv_amount],SMALL(IF(ISNUMBER(MATCH(orderHistory[customer],$D$9,0)*MATCH(orderHistory[order_type],$D$13,0)),MATCH(ROW(orderHistory[customer]),ROW(orderHistory[customer])),""),ROWS($A$15:A45)+$B$3))),IF($D$13="",INDEX(orderHistory[inv_amount],SMALL(IF(ISNUMBER(MATCH(orderHistory[customer],$D$9,0)*MATCH(orderHistory[status],$D$11,0)),MATCH(ROW(orderHistory[customer]),ROW(orderHistory[customer])),""),ROWS($A$15:A45)+$B$3)),INDEX(orderHistory[inv_amount],SMALL(IF(ISNUMBER(MATCH(orderHistory[customer],$D$9,0)*MATCH(orderHistory[status],$D$11,0)*MATCH(orderHistory[order_type],$D$13,0)),MATCH(ROW(orderHistory[customer]),ROW(orderHistory[customer])),""),ROWS($A$15:A45)+$B$3))))),"")</f>
        <v/>
      </c>
      <c r="S40" s="383" t="str">
        <f t="shared" si="0"/>
        <v/>
      </c>
      <c r="T40" s="385" t="str">
        <f t="array" ref="T40">IFERROR(IF($D$9="",IF($D$11="",IF($D$13="",INDEX(orderHistory[payed],SMALL(MATCH(ROW(orderHistory[customer]),ROW(orderHistory[customer])),ROWS($A$15:A45)+$B$3)),INDEX(orderHistory[payed],SMALL(IF(ISNUMBER(MATCH(orderHistory[order_type],$D$13,0)),MATCH(ROW(orderHistory[customer]),ROW(orderHistory[customer])),""),ROWS($A$15:A45)+$B$3))),IF($D$13="",INDEX(orderHistory[payed],SMALL(IF(ISNUMBER(MATCH(orderHistory[status],$D$11,0)),MATCH(ROW(orderHistory[customer]),ROW(orderHistory[customer])),""),ROWS($A$15:A45)+$B$3)),INDEX(orderHistory[payed],SMALL(IF(ISNUMBER(MATCH(orderHistory[status],$D$11,0)*MATCH(orderHistory[order_type],$D$13,0)),MATCH(ROW(orderHistory[customer]),ROW(orderHistory[customer])),""),ROWS($A$15:A45)+$B$3)))),IF($D$11="",IF($D$13="",INDEX(orderHistory[payed],SMALL(IF(ISNUMBER(MATCH(orderHistory[customer],$D$9,0)),MATCH(ROW(orderHistory[customer]),ROW(orderHistory[customer])),""),ROWS($A$15:A45)+$B$3)),INDEX(orderHistory[payed],SMALL(IF(ISNUMBER(MATCH(orderHistory[customer],$D$9,0)*MATCH(orderHistory[order_type],$D$13,0)),MATCH(ROW(orderHistory[customer]),ROW(orderHistory[customer])),""),ROWS($A$15:A45)+$B$3))),IF($D$13="",INDEX(orderHistory[payed],SMALL(IF(ISNUMBER(MATCH(orderHistory[customer],$D$9,0)*MATCH(orderHistory[status],$D$11,0)),MATCH(ROW(orderHistory[customer]),ROW(orderHistory[customer])),""),ROWS($A$15:A45)+$B$3)),INDEX(orderHistory[payed],SMALL(IF(ISNUMBER(MATCH(orderHistory[customer],$D$9,0)*MATCH(orderHistory[status],$D$11,0)*MATCH(orderHistory[order_type],$D$13,0)),MATCH(ROW(orderHistory[customer]),ROW(orderHistory[customer])),""),ROWS($A$15:A45)+$B$3))))),"")</f>
        <v/>
      </c>
      <c r="U40" s="386" t="str">
        <f t="array" ref="U40">IFERROR(IF($D$9="",IF($D$11="",IF($D$13="",INDEX(orderHistory[shipping_method],SMALL(MATCH(ROW(orderHistory[customer]),ROW(orderHistory[customer])),ROWS($A$15:A45)+$B$3)),INDEX(orderHistory[shipping_method],SMALL(IF(ISNUMBER(MATCH(orderHistory[order_type],$D$13,0)),MATCH(ROW(orderHistory[customer]),ROW(orderHistory[customer])),""),ROWS($A$15:A45)+$B$3))),IF($D$13="",INDEX(orderHistory[shipping_method],SMALL(IF(ISNUMBER(MATCH(orderHistory[status],$D$11,0)),MATCH(ROW(orderHistory[customer]),ROW(orderHistory[customer])),""),ROWS($A$15:A45)+$B$3)),INDEX(orderHistory[shipping_method],SMALL(IF(ISNUMBER(MATCH(orderHistory[status],$D$11,0)*MATCH(orderHistory[order_type],$D$13,0)),MATCH(ROW(orderHistory[customer]),ROW(orderHistory[customer])),""),ROWS($A$15:A45)+$B$3)))),IF($D$11="",IF($D$13="",INDEX(orderHistory[shipping_method],SMALL(IF(ISNUMBER(MATCH(orderHistory[customer],$D$9,0)),MATCH(ROW(orderHistory[customer]),ROW(orderHistory[customer])),""),ROWS($A$15:A45)+$B$3)),INDEX(orderHistory[shipping_method],SMALL(IF(ISNUMBER(MATCH(orderHistory[customer],$D$9,0)*MATCH(orderHistory[order_type],$D$13,0)),MATCH(ROW(orderHistory[customer]),ROW(orderHistory[customer])),""),ROWS($A$15:A45)+$B$3))),IF($D$13="",INDEX(orderHistory[shipping_method],SMALL(IF(ISNUMBER(MATCH(orderHistory[customer],$D$9,0)*MATCH(orderHistory[status],$D$11,0)),MATCH(ROW(orderHistory[customer]),ROW(orderHistory[customer])),""),ROWS($A$15:A45)+$B$3)),INDEX(orderHistory[shipping_method],SMALL(IF(ISNUMBER(MATCH(orderHistory[customer],$D$9,0)*MATCH(orderHistory[status],$D$11,0)*MATCH(orderHistory[order_type],$D$13,0)),MATCH(ROW(orderHistory[customer]),ROW(orderHistory[customer])),""),ROWS($A$15:A45)+$B$3))))),"")</f>
        <v/>
      </c>
      <c r="V40" s="387" t="str">
        <f t="array" ref="V40">IFERROR(IF($D$9="",IF($D$11="",IF($D$13="",INDEX(orderHistory[status],SMALL(MATCH(ROW(orderHistory[customer]),ROW(orderHistory[customer])),ROWS($A$15:A45)+$B$3)),INDEX(orderHistory[status],SMALL(IF(ISNUMBER(MATCH(orderHistory[order_type],$D$13,0)),MATCH(ROW(orderHistory[customer]),ROW(orderHistory[customer])),""),ROWS($A$15:A45)+$B$3))),IF($D$13="",INDEX(orderHistory[status],SMALL(IF(ISNUMBER(MATCH(orderHistory[status],$D$11,0)),MATCH(ROW(orderHistory[customer]),ROW(orderHistory[customer])),""),ROWS($A$15:A45)+$B$3)),INDEX(orderHistory[status],SMALL(IF(ISNUMBER(MATCH(orderHistory[status],$D$11,0)*MATCH(orderHistory[order_type],$D$13,0)),MATCH(ROW(orderHistory[customer]),ROW(orderHistory[customer])),""),ROWS($A$15:A45)+$B$3)))),IF($D$11="",IF($D$13="",INDEX(orderHistory[status],SMALL(IF(ISNUMBER(MATCH(orderHistory[customer],$D$9,0)),MATCH(ROW(orderHistory[customer]),ROW(orderHistory[customer])),""),ROWS($A$15:A45)+$B$3)),INDEX(orderHistory[status],SMALL(IF(ISNUMBER(MATCH(orderHistory[customer],$D$9,0)*MATCH(orderHistory[order_type],$D$13,0)),MATCH(ROW(orderHistory[customer]),ROW(orderHistory[customer])),""),ROWS($A$15:A45)+$B$3))),IF($D$13="",INDEX(orderHistory[status],SMALL(IF(ISNUMBER(MATCH(orderHistory[customer],$D$9,0)*MATCH(orderHistory[status],$D$11,0)),MATCH(ROW(orderHistory[customer]),ROW(orderHistory[customer])),""),ROWS($A$15:A45)+$B$3)),INDEX(orderHistory[status],SMALL(IF(ISNUMBER(MATCH(orderHistory[customer],$D$9,0)*MATCH(orderHistory[status],$D$11,0)*MATCH(orderHistory[order_type],$D$13,0)),MATCH(ROW(orderHistory[customer]),ROW(orderHistory[customer])),""),ROWS($A$15:A45)+$B$3))))),"")</f>
        <v/>
      </c>
      <c r="W40" s="187"/>
      <c r="AQ40" s="129"/>
      <c r="AR40" s="122"/>
      <c r="AS40" s="122"/>
      <c r="AT40" s="122"/>
      <c r="AU40" s="123"/>
      <c r="AW40" s="167"/>
      <c r="AX40" s="122"/>
      <c r="AY40" s="122"/>
      <c r="AZ40" s="122"/>
      <c r="BA40" s="122"/>
      <c r="BB40" s="122"/>
      <c r="BC40" s="122"/>
      <c r="BD40" s="122"/>
      <c r="BE40" s="122"/>
      <c r="BF40" s="122"/>
      <c r="BG40" s="176"/>
      <c r="BH40" s="122"/>
      <c r="BI40" s="122"/>
      <c r="BJ40" s="123"/>
      <c r="BK40" s="146"/>
      <c r="BL40" s="147"/>
      <c r="BM40" s="148"/>
      <c r="BN40" s="147"/>
      <c r="BO40" s="148"/>
      <c r="BZ40" s="295"/>
      <c r="CA40" s="270" t="str">
        <f>IF(BZ40="","",VLOOKUP(BZ40,bhpc_data[],7,FALSE))</f>
        <v/>
      </c>
      <c r="CB40" s="296"/>
      <c r="CC40" s="642"/>
      <c r="CD40" s="297"/>
      <c r="CE40" s="645"/>
      <c r="CF40" s="298"/>
      <c r="CG40" s="301" t="str">
        <f>IFERROR(ROUNDUP(CB40/VLOOKUP(BZ40,bhpc_data[],9,FALSE),0)+ROUNDUP(CD40/VLOOKUP(BZ40,bhpc_data[],9,FALSE),0),"")</f>
        <v/>
      </c>
      <c r="CH40" s="302" t="str">
        <f>IFERROR(ROUNDUP(CD40/VLOOKUP(BZ40,bhpc_data[],9,FALSE),0),"")</f>
        <v/>
      </c>
      <c r="CI40" s="302" t="str">
        <f>IFERROR(ROUNDUP(CF40/VLOOKUP(BZ40,bhpc_data[],9,FALSE),0),"")</f>
        <v/>
      </c>
      <c r="CJ40" s="302" t="str">
        <f>IFERROR(((CB40+CD40+CF40)/VLOOKUP(BZ40,bhpc_data[],9,FALSE))*VLOOKUP(BZ40,bhpc_data[],17,FALSE),"")</f>
        <v/>
      </c>
      <c r="CK40" s="302" t="str">
        <f>IFERROR(((CB40+CD40+CF40)/VLOOKUP(BZ40,bhpc_data[],9,FALSE))*VLOOKUP(BZ40,bhpc_data[],18,FALSE),"")</f>
        <v/>
      </c>
      <c r="CL40" s="346" t="str">
        <f>IFERROR((CB40+CD40)/VLOOKUP(BZ40,bhpc_data[],9,FALSE)*VLOOKUP(BZ40,bhpc_data[],14,FALSE)*VLOOKUP(BZ40,bhpc_data[],15,FALSE)*VLOOKUP(BZ40,bhpc_data[],16,FALSE)/1000000000,"")</f>
        <v/>
      </c>
      <c r="CM40" s="409" t="str">
        <f>IFERROR(VLOOKUP(BZ40,bhpc_data[],2,FALSE),"")</f>
        <v/>
      </c>
      <c r="CN40" s="409" t="str">
        <f>IFERROR(VLOOKUP(BZ40,bhpc_data[],19,FALSE),"")</f>
        <v/>
      </c>
      <c r="CO40" s="653" t="str">
        <f>IFERROR(VLOOKUP(BZ40,bhpc_data[],6,FALSE),"")</f>
        <v/>
      </c>
      <c r="CP40" s="654" t="str">
        <f>IFERROR(VLOOKUP(BZ40,inventory[],4,FALSE),"")</f>
        <v/>
      </c>
      <c r="CQ40" s="651" t="str">
        <f>IFERROR(IF(BZ40="","",IF($BX$15="SALE",VLOOKUP(BZ40,inventory[],5,FALSE),IF($BX$15="SAMPLING",VLOOKUP(BZ40,inventory[],5,FALSE),""))),"")</f>
        <v/>
      </c>
      <c r="CR40" s="652" t="str">
        <f>IFERROR(IF(BZ40="","",(CB40+CD40+CF40)*CQ40),"")</f>
        <v/>
      </c>
      <c r="CS40" s="557" t="str">
        <f>IF(BZ40="","",CB40*CC40+CD40*CE40)</f>
        <v/>
      </c>
      <c r="DA40" s="540" t="str">
        <f>IFERROR(VLOOKUP(BZ40,bhpc_data[],22,FALSE),"")</f>
        <v/>
      </c>
      <c r="DF40" s="131"/>
      <c r="DG40" s="120"/>
      <c r="DH40" s="162"/>
      <c r="DI40" s="120"/>
      <c r="DJ40" s="120" t="s">
        <v>687</v>
      </c>
      <c r="DK40" s="120"/>
      <c r="DL40" s="120"/>
      <c r="DM40" s="120"/>
      <c r="DN40" s="120"/>
      <c r="DO40" s="120"/>
      <c r="DP40" s="120"/>
      <c r="DQ40" s="120"/>
      <c r="DR40" s="120"/>
      <c r="DS40" s="120"/>
      <c r="DT40" s="120"/>
      <c r="DU40" s="120"/>
      <c r="DV40" s="121"/>
      <c r="EE40" s="453" t="s">
        <v>104</v>
      </c>
      <c r="EF40" s="447" t="str">
        <f>VLOOKUP(EE40,bhpc_data[],7,FALSE)</f>
        <v>BHPC GIFT SET WOMEN 8 EDP 100ML + DEO 150ML</v>
      </c>
      <c r="EG40" s="555">
        <f>IFERROR(VLOOKUP(EE40,inventory[],4,FALSE),0)</f>
        <v>0</v>
      </c>
      <c r="EH40" s="555">
        <f>IFERROR(VLOOKUP(warehouse[[#This Row],[SKU]],$EQ$10:$ES$38,3,FALSE),0)</f>
        <v>0</v>
      </c>
      <c r="EI40" s="555">
        <f>IFERROR(VLOOKUP(warehouse[[#This Row],[SKU]],$EM$10:$EO$61,3,FALSE),0)</f>
        <v>6</v>
      </c>
      <c r="EJ40" s="555">
        <f>warehouse[[#This Row],[T-1]]+warehouse[[#This Row],[SUPPLY]]-warehouse[[#This Row],[SALE + SAMPLING]]</f>
        <v>-6</v>
      </c>
      <c r="EK40" s="449"/>
      <c r="EM40" s="74" t="s">
        <v>123</v>
      </c>
      <c r="EN40" s="74" t="s">
        <v>124</v>
      </c>
      <c r="EO40" s="431">
        <v>2672</v>
      </c>
    </row>
    <row r="41" spans="6:149" ht="15" customHeight="1">
      <c r="F41" s="131"/>
      <c r="G41" s="971"/>
      <c r="H41" s="972"/>
      <c r="I41" s="973"/>
      <c r="J41" s="121"/>
      <c r="L41" s="274" t="str">
        <f t="array" ref="L41">IFERROR(IF($D$9="",IF($D$11="",IF($D$13="",INDEX(orderHistory[customer],SMALL(MATCH(ROW(orderHistory[customer]),ROW(orderHistory[customer])),ROWS($A$15:A46)+$B$3)),INDEX(orderHistory[customer],SMALL(IF(ISNUMBER(MATCH(orderHistory[order_type],$D$13,0)),MATCH(ROW(orderHistory[customer]),ROW(orderHistory[customer])),""),ROWS($A$15:A46)+$B$3))),IF($D$13="",INDEX(orderHistory[customer],SMALL(IF(ISNUMBER(MATCH(orderHistory[status],$D$11,0)),MATCH(ROW(orderHistory[customer]),ROW(orderHistory[customer])),""),ROWS($A$15:A46)+$B$3)),INDEX(orderHistory[customer],SMALL(IF(ISNUMBER(MATCH(orderHistory[status],$D$11,0)*MATCH(orderHistory[order_type],$D$13,0)),MATCH(ROW(orderHistory[customer]),ROW(orderHistory[customer])),""),ROWS($A$15:A46)+$B$3)))),IF($D$11="",IF($D$13="",INDEX(orderHistory[customer],SMALL(IF(ISNUMBER(MATCH(orderHistory[customer],$D$9,0)),MATCH(ROW(orderHistory[customer]),ROW(orderHistory[customer])),""),ROWS($A$15:A46)+$B$3)),INDEX(orderHistory[customer],SMALL(IF(ISNUMBER(MATCH(orderHistory[customer],$D$9,0)*MATCH(orderHistory[order_type],$D$13,0)),MATCH(ROW(orderHistory[customer]),ROW(orderHistory[customer])),""),ROWS($A$15:A46)+$B$3))),IF($D$13="",INDEX(orderHistory[customer],SMALL(IF(ISNUMBER(MATCH(orderHistory[customer],$D$9,0)*MATCH(orderHistory[status],$D$11,0)),MATCH(ROW(orderHistory[customer]),ROW(orderHistory[customer])),""),ROWS($A$15:A46)+$B$3)),INDEX(orderHistory[customer],SMALL(IF(ISNUMBER(MATCH(orderHistory[customer],$D$9,0)*MATCH(orderHistory[status],$D$11,0)*MATCH(orderHistory[order_type],$D$13,0)),MATCH(ROW(orderHistory[customer]),ROW(orderHistory[customer])),""),ROWS($A$15:A46)+$B$3))))),"")</f>
        <v/>
      </c>
      <c r="M41" s="391" t="str">
        <f t="array" ref="M41">IFERROR(IF($D$9="",IF($D$11="",IF($D$13="",INDEX(orderHistory[order_no],SMALL(MATCH(ROW(orderHistory[customer]),ROW(orderHistory[customer])),ROWS($A$15:A46)+$B$3)),INDEX(orderHistory[order_no],SMALL(IF(ISNUMBER(MATCH(orderHistory[order_type],$D$13,0)),MATCH(ROW(orderHistory[customer]),ROW(orderHistory[customer])),""),ROWS($A$15:A46)+$B$3))),IF($D$13="",INDEX(orderHistory[order_no],SMALL(IF(ISNUMBER(MATCH(orderHistory[status],$D$11,0)),MATCH(ROW(orderHistory[customer]),ROW(orderHistory[customer])),""),ROWS($A$15:A46)+$B$3)),INDEX(orderHistory[order_no],SMALL(IF(ISNUMBER(MATCH(orderHistory[status],$D$11,0)*MATCH(orderHistory[order_type],$D$13,0)),MATCH(ROW(orderHistory[customer]),ROW(orderHistory[customer])),""),ROWS($A$15:A46)+$B$3)))),IF($D$11="",IF($D$13="",INDEX(orderHistory[order_no],SMALL(IF(ISNUMBER(MATCH(orderHistory[customer],$D$9,0)),MATCH(ROW(orderHistory[customer]),ROW(orderHistory[customer])),""),ROWS($A$15:A46)+$B$3)),INDEX(orderHistory[order_no],SMALL(IF(ISNUMBER(MATCH(orderHistory[customer],$D$9,0)*MATCH(orderHistory[order_type],$D$13,0)),MATCH(ROW(orderHistory[customer]),ROW(orderHistory[customer])),""),ROWS($A$15:A46)+$B$3))),IF($D$13="",INDEX(orderHistory[order_no],SMALL(IF(ISNUMBER(MATCH(orderHistory[customer],$D$9,0)*MATCH(orderHistory[status],$D$11,0)),MATCH(ROW(orderHistory[customer]),ROW(orderHistory[customer])),""),ROWS($A$15:A46)+$B$3)),INDEX(orderHistory[order_no],SMALL(IF(ISNUMBER(MATCH(orderHistory[customer],$D$9,0)*MATCH(orderHistory[status],$D$11,0)*MATCH(orderHistory[order_type],$D$13,0)),MATCH(ROW(orderHistory[customer]),ROW(orderHistory[customer])),""),ROWS($A$15:A46)+$B$3))))),"")</f>
        <v/>
      </c>
      <c r="N41" s="386" t="str">
        <f t="array" ref="N41">IFERROR(IF($D$9="",IF($D$11="",IF($D$13="",INDEX(orderHistory[order_type],SMALL(MATCH(ROW(orderHistory[customer]),ROW(orderHistory[customer])),ROWS($A$15:A46)+$B$3)),INDEX(orderHistory[order_type],SMALL(IF(ISNUMBER(MATCH(orderHistory[order_type],$D$13,0)),MATCH(ROW(orderHistory[customer]),ROW(orderHistory[customer])),""),ROWS($A$15:A46)+$B$3))),IF($D$13="",INDEX(orderHistory[order_type],SMALL(IF(ISNUMBER(MATCH(orderHistory[status],$D$11,0)),MATCH(ROW(orderHistory[customer]),ROW(orderHistory[customer])),""),ROWS($A$15:A46)+$B$3)),INDEX(orderHistory[order_type],SMALL(IF(ISNUMBER(MATCH(orderHistory[status],$D$11,0)*MATCH(orderHistory[order_type],$D$13,0)),MATCH(ROW(orderHistory[customer]),ROW(orderHistory[customer])),""),ROWS($A$15:A46)+$B$3)))),IF($D$11="",IF($D$13="",INDEX(orderHistory[order_type],SMALL(IF(ISNUMBER(MATCH(orderHistory[customer],$D$9,0)),MATCH(ROW(orderHistory[customer]),ROW(orderHistory[customer])),""),ROWS($A$15:A46)+$B$3)),INDEX(orderHistory[order_type],SMALL(IF(ISNUMBER(MATCH(orderHistory[customer],$D$9,0)*MATCH(orderHistory[order_type],$D$13,0)),MATCH(ROW(orderHistory[customer]),ROW(orderHistory[customer])),""),ROWS($A$15:A46)+$B$3))),IF($D$13="",INDEX(orderHistory[order_type],SMALL(IF(ISNUMBER(MATCH(orderHistory[customer],$D$9,0)*MATCH(orderHistory[status],$D$11,0)),MATCH(ROW(orderHistory[customer]),ROW(orderHistory[customer])),""),ROWS($A$15:A46)+$B$3)),INDEX(orderHistory[order_type],SMALL(IF(ISNUMBER(MATCH(orderHistory[customer],$D$9,0)*MATCH(orderHistory[status],$D$11,0)*MATCH(orderHistory[order_type],$D$13,0)),MATCH(ROW(orderHistory[customer]),ROW(orderHistory[customer])),""),ROWS($A$15:A46)+$B$3))))),"")</f>
        <v/>
      </c>
      <c r="O41" s="275" t="str">
        <f t="array" ref="O41">IFERROR(IF($D$9="",IF($D$11="",IF($D$13="",INDEX(orderHistory[order_date],SMALL(MATCH(ROW(orderHistory[customer]),ROW(orderHistory[customer])),ROWS($A$15:A46)+$B$3)),INDEX(orderHistory[order_date],SMALL(IF(ISNUMBER(MATCH(orderHistory[order_type],$D$13,0)),MATCH(ROW(orderHistory[customer]),ROW(orderHistory[customer])),""),ROWS($A$15:A46)+$B$3))),IF($D$13="",INDEX(orderHistory[order_date],SMALL(IF(ISNUMBER(MATCH(orderHistory[status],$D$11,0)),MATCH(ROW(orderHistory[customer]),ROW(orderHistory[customer])),""),ROWS($A$15:A46)+$B$3)),INDEX(orderHistory[order_date],SMALL(IF(ISNUMBER(MATCH(orderHistory[status],$D$11,0)*MATCH(orderHistory[order_type],$D$13,0)),MATCH(ROW(orderHistory[customer]),ROW(orderHistory[customer])),""),ROWS($A$15:A46)+$B$3)))),IF($D$11="",IF($D$13="",INDEX(orderHistory[order_date],SMALL(IF(ISNUMBER(MATCH(orderHistory[customer],$D$9,0)),MATCH(ROW(orderHistory[customer]),ROW(orderHistory[customer])),""),ROWS($A$15:A46)+$B$3)),INDEX(orderHistory[order_date],SMALL(IF(ISNUMBER(MATCH(orderHistory[customer],$D$9,0)*MATCH(orderHistory[order_type],$D$13,0)),MATCH(ROW(orderHistory[customer]),ROW(orderHistory[customer])),""),ROWS($A$15:A46)+$B$3))),IF($D$13="",INDEX(orderHistory[order_date],SMALL(IF(ISNUMBER(MATCH(orderHistory[customer],$D$9,0)*MATCH(orderHistory[status],$D$11,0)),MATCH(ROW(orderHistory[customer]),ROW(orderHistory[customer])),""),ROWS($A$15:A46)+$B$3)),INDEX(orderHistory[order_date],SMALL(IF(ISNUMBER(MATCH(orderHistory[customer],$D$9,0)*MATCH(orderHistory[status],$D$11,0)*MATCH(orderHistory[order_type],$D$13,0)),MATCH(ROW(orderHistory[customer]),ROW(orderHistory[customer])),""),ROWS($A$15:A46)+$B$3))))),"")</f>
        <v/>
      </c>
      <c r="P41" s="379" t="str">
        <f t="array" ref="P41">IF(IFERROR(IF($D$9="",IF($D$11="",IF($D$13="",INDEX(orderHistory[invoice_no],SMALL(MATCH(ROW(orderHistory[customer]),ROW(orderHistory[customer])),ROWS($A$15:A46)+$B$3)),INDEX(orderHistory[invoice_no],SMALL(IF(ISNUMBER(MATCH(orderHistory[order_type],$D$13,0)),MATCH(ROW(orderHistory[customer]),ROW(orderHistory[customer])),""),ROWS($A$15:A46)+$B$3))),IF($D$13="",INDEX(orderHistory[invoice_no],SMALL(IF(ISNUMBER(MATCH(orderHistory[status],$D$11,0)),MATCH(ROW(orderHistory[customer]),ROW(orderHistory[customer])),""),ROWS($A$15:A46)+$B$3)),INDEX(orderHistory[invoice_no],SMALL(IF(ISNUMBER(MATCH(orderHistory[status],$D$11,0)*MATCH(orderHistory[order_type],$D$13,0)),MATCH(ROW(orderHistory[customer]),ROW(orderHistory[customer])),""),ROWS($A$15:A46)+$B$3)))),IF($D$11="",IF($D$13="",INDEX(orderHistory[invoice_no],SMALL(IF(ISNUMBER(MATCH(orderHistory[customer],$D$9,0)),MATCH(ROW(orderHistory[customer]),ROW(orderHistory[customer])),""),ROWS($A$15:A46)+$B$3)),INDEX(orderHistory[invoice_no],SMALL(IF(ISNUMBER(MATCH(orderHistory[customer],$D$9,0)*MATCH(orderHistory[order_type],$D$13,0)),MATCH(ROW(orderHistory[customer]),ROW(orderHistory[customer])),""),ROWS($A$15:A46)+$B$3))),IF($D$13="",INDEX(orderHistory[invoice_no],SMALL(IF(ISNUMBER(MATCH(orderHistory[customer],$D$9,0)*MATCH(orderHistory[status],$D$11,0)),MATCH(ROW(orderHistory[customer]),ROW(orderHistory[customer])),""),ROWS($A$15:A46)+$B$3)),INDEX(orderHistory[invoice_no],SMALL(IF(ISNUMBER(MATCH(orderHistory[customer],$D$9,0)*MATCH(orderHistory[status],$D$11,0)*MATCH(orderHistory[order_type],$D$13,0)),MATCH(ROW(orderHistory[customer]),ROW(orderHistory[customer])),""),ROWS($A$15:A46)+$B$3))))),"")=0,"",IFERROR(IF($D$9="",IF($D$11="",IF($D$13="",INDEX(orderHistory[invoice_no],SMALL(MATCH(ROW(orderHistory[customer]),ROW(orderHistory[customer])),ROWS($A$15:A46)+$B$3)),INDEX(orderHistory[invoice_no],SMALL(IF(ISNUMBER(MATCH(orderHistory[order_type],$D$13,0)),MATCH(ROW(orderHistory[customer]),ROW(orderHistory[customer])),""),ROWS($A$15:A46)+$B$3))),IF($D$13="",INDEX(orderHistory[invoice_no],SMALL(IF(ISNUMBER(MATCH(orderHistory[status],$D$11,0)),MATCH(ROW(orderHistory[customer]),ROW(orderHistory[customer])),""),ROWS($A$15:A46)+$B$3)),INDEX(orderHistory[invoice_no],SMALL(IF(ISNUMBER(MATCH(orderHistory[status],$D$11,0)*MATCH(orderHistory[order_type],$D$13,0)),MATCH(ROW(orderHistory[customer]),ROW(orderHistory[customer])),""),ROWS($A$15:A46)+$B$3)))),IF($D$11="",IF($D$13="",INDEX(orderHistory[invoice_no],SMALL(IF(ISNUMBER(MATCH(orderHistory[customer],$D$9,0)),MATCH(ROW(orderHistory[customer]),ROW(orderHistory[customer])),""),ROWS($A$15:A46)+$B$3)),INDEX(orderHistory[invoice_no],SMALL(IF(ISNUMBER(MATCH(orderHistory[customer],$D$9,0)*MATCH(orderHistory[order_type],$D$13,0)),MATCH(ROW(orderHistory[customer]),ROW(orderHistory[customer])),""),ROWS($A$15:A46)+$B$3))),IF($D$13="",INDEX(orderHistory[invoice_no],SMALL(IF(ISNUMBER(MATCH(orderHistory[customer],$D$9,0)*MATCH(orderHistory[status],$D$11,0)),MATCH(ROW(orderHistory[customer]),ROW(orderHistory[customer])),""),ROWS($A$15:A46)+$B$3)),INDEX(orderHistory[invoice_no],SMALL(IF(ISNUMBER(MATCH(orderHistory[customer],$D$9,0)*MATCH(orderHistory[status],$D$11,0)*MATCH(orderHistory[order_type],$D$13,0)),MATCH(ROW(orderHistory[customer]),ROW(orderHistory[customer])),""),ROWS($A$15:A46)+$B$3))))),""))</f>
        <v/>
      </c>
      <c r="Q41" s="381" t="str">
        <f t="array" ref="Q41">IF(IFERROR(IF($D$9="",IF($D$11="",IF($D$13="",INDEX(orderHistory[invoice_date],SMALL(MATCH(ROW(orderHistory[customer]),ROW(orderHistory[customer])),ROWS($A$15:A46)+$B$3)),INDEX(orderHistory[invoice_date],SMALL(IF(ISNUMBER(MATCH(orderHistory[order_type],$D$13,0)),MATCH(ROW(orderHistory[customer]),ROW(orderHistory[customer])),""),ROWS($A$15:A46)+$B$3))),IF($D$13="",INDEX(orderHistory[invoice_date],SMALL(IF(ISNUMBER(MATCH(orderHistory[status],$D$11,0)),MATCH(ROW(orderHistory[customer]),ROW(orderHistory[customer])),""),ROWS($A$15:A46)+$B$3)),INDEX(orderHistory[invoice_date],SMALL(IF(ISNUMBER(MATCH(orderHistory[status],$D$11,0)*MATCH(orderHistory[order_type],$D$13,0)),MATCH(ROW(orderHistory[customer]),ROW(orderHistory[customer])),""),ROWS($A$15:A46)+$B$3)))),IF($D$11="",IF($D$13="",INDEX(orderHistory[invoice_date],SMALL(IF(ISNUMBER(MATCH(orderHistory[customer],$D$9,0)),MATCH(ROW(orderHistory[customer]),ROW(orderHistory[customer])),""),ROWS($A$15:A46)+$B$3)),INDEX(orderHistory[invoice_date],SMALL(IF(ISNUMBER(MATCH(orderHistory[customer],$D$9,0)*MATCH(orderHistory[order_type],$D$13,0)),MATCH(ROW(orderHistory[customer]),ROW(orderHistory[customer])),""),ROWS($A$15:A46)+$B$3))),IF($D$13="",INDEX(orderHistory[invoice_date],SMALL(IF(ISNUMBER(MATCH(orderHistory[customer],$D$9,0)*MATCH(orderHistory[status],$D$11,0)),MATCH(ROW(orderHistory[customer]),ROW(orderHistory[customer])),""),ROWS($A$15:A46)+$B$3)),INDEX(orderHistory[invoice_date],SMALL(IF(ISNUMBER(MATCH(orderHistory[customer],$D$9,0)*MATCH(orderHistory[status],$D$11,0)*MATCH(orderHistory[order_type],$D$13,0)),MATCH(ROW(orderHistory[customer]),ROW(orderHistory[customer])),""),ROWS($A$15:A46)+$B$3))))),"")=0,"",IFERROR(IF($D$9="",IF($D$11="",IF($D$13="",INDEX(orderHistory[invoice_date],SMALL(MATCH(ROW(orderHistory[customer]),ROW(orderHistory[customer])),ROWS($A$15:A46)+$B$3)),INDEX(orderHistory[invoice_date],SMALL(IF(ISNUMBER(MATCH(orderHistory[order_type],$D$13,0)),MATCH(ROW(orderHistory[customer]),ROW(orderHistory[customer])),""),ROWS($A$15:A46)+$B$3))),IF($D$13="",INDEX(orderHistory[invoice_date],SMALL(IF(ISNUMBER(MATCH(orderHistory[status],$D$11,0)),MATCH(ROW(orderHistory[customer]),ROW(orderHistory[customer])),""),ROWS($A$15:A46)+$B$3)),INDEX(orderHistory[invoice_date],SMALL(IF(ISNUMBER(MATCH(orderHistory[status],$D$11,0)*MATCH(orderHistory[order_type],$D$13,0)),MATCH(ROW(orderHistory[customer]),ROW(orderHistory[customer])),""),ROWS($A$15:A46)+$B$3)))),IF($D$11="",IF($D$13="",INDEX(orderHistory[invoice_date],SMALL(IF(ISNUMBER(MATCH(orderHistory[customer],$D$9,0)),MATCH(ROW(orderHistory[customer]),ROW(orderHistory[customer])),""),ROWS($A$15:A46)+$B$3)),INDEX(orderHistory[invoice_date],SMALL(IF(ISNUMBER(MATCH(orderHistory[customer],$D$9,0)*MATCH(orderHistory[order_type],$D$13,0)),MATCH(ROW(orderHistory[customer]),ROW(orderHistory[customer])),""),ROWS($A$15:A46)+$B$3))),IF($D$13="",INDEX(orderHistory[invoice_date],SMALL(IF(ISNUMBER(MATCH(orderHistory[customer],$D$9,0)*MATCH(orderHistory[status],$D$11,0)),MATCH(ROW(orderHistory[customer]),ROW(orderHistory[customer])),""),ROWS($A$15:A46)+$B$3)),INDEX(orderHistory[invoice_date],SMALL(IF(ISNUMBER(MATCH(orderHistory[customer],$D$9,0)*MATCH(orderHistory[status],$D$11,0)*MATCH(orderHistory[order_type],$D$13,0)),MATCH(ROW(orderHistory[customer]),ROW(orderHistory[customer])),""),ROWS($A$15:A46)+$B$3))))),""))</f>
        <v/>
      </c>
      <c r="R41" s="377" t="str">
        <f t="array" ref="R41">IFERROR(IF($D$9="",IF($D$11="",IF($D$13="",INDEX(orderHistory[inv_amount],SMALL(MATCH(ROW(orderHistory[customer]),ROW(orderHistory[customer])),ROWS($A$15:A46)+$B$3)),INDEX(orderHistory[inv_amount],SMALL(IF(ISNUMBER(MATCH(orderHistory[order_type],$D$13,0)),MATCH(ROW(orderHistory[customer]),ROW(orderHistory[customer])),""),ROWS($A$15:A46)+$B$3))),IF($D$13="",INDEX(orderHistory[inv_amount],SMALL(IF(ISNUMBER(MATCH(orderHistory[status],$D$11,0)),MATCH(ROW(orderHistory[customer]),ROW(orderHistory[customer])),""),ROWS($A$15:A46)+$B$3)),INDEX(orderHistory[inv_amount],SMALL(IF(ISNUMBER(MATCH(orderHistory[status],$D$11,0)*MATCH(orderHistory[order_type],$D$13,0)),MATCH(ROW(orderHistory[customer]),ROW(orderHistory[customer])),""),ROWS($A$15:A46)+$B$3)))),IF($D$11="",IF($D$13="",INDEX(orderHistory[inv_amount],SMALL(IF(ISNUMBER(MATCH(orderHistory[customer],$D$9,0)),MATCH(ROW(orderHistory[customer]),ROW(orderHistory[customer])),""),ROWS($A$15:A46)+$B$3)),INDEX(orderHistory[inv_amount],SMALL(IF(ISNUMBER(MATCH(orderHistory[customer],$D$9,0)*MATCH(orderHistory[order_type],$D$13,0)),MATCH(ROW(orderHistory[customer]),ROW(orderHistory[customer])),""),ROWS($A$15:A46)+$B$3))),IF($D$13="",INDEX(orderHistory[inv_amount],SMALL(IF(ISNUMBER(MATCH(orderHistory[customer],$D$9,0)*MATCH(orderHistory[status],$D$11,0)),MATCH(ROW(orderHistory[customer]),ROW(orderHistory[customer])),""),ROWS($A$15:A46)+$B$3)),INDEX(orderHistory[inv_amount],SMALL(IF(ISNUMBER(MATCH(orderHistory[customer],$D$9,0)*MATCH(orderHistory[status],$D$11,0)*MATCH(orderHistory[order_type],$D$13,0)),MATCH(ROW(orderHistory[customer]),ROW(orderHistory[customer])),""),ROWS($A$15:A46)+$B$3))))),"")</f>
        <v/>
      </c>
      <c r="S41" s="383" t="str">
        <f t="shared" si="0"/>
        <v/>
      </c>
      <c r="T41" s="385" t="str">
        <f t="array" ref="T41">IFERROR(IF($D$9="",IF($D$11="",IF($D$13="",INDEX(orderHistory[payed],SMALL(MATCH(ROW(orderHistory[customer]),ROW(orderHistory[customer])),ROWS($A$15:A46)+$B$3)),INDEX(orderHistory[payed],SMALL(IF(ISNUMBER(MATCH(orderHistory[order_type],$D$13,0)),MATCH(ROW(orderHistory[customer]),ROW(orderHistory[customer])),""),ROWS($A$15:A46)+$B$3))),IF($D$13="",INDEX(orderHistory[payed],SMALL(IF(ISNUMBER(MATCH(orderHistory[status],$D$11,0)),MATCH(ROW(orderHistory[customer]),ROW(orderHistory[customer])),""),ROWS($A$15:A46)+$B$3)),INDEX(orderHistory[payed],SMALL(IF(ISNUMBER(MATCH(orderHistory[status],$D$11,0)*MATCH(orderHistory[order_type],$D$13,0)),MATCH(ROW(orderHistory[customer]),ROW(orderHistory[customer])),""),ROWS($A$15:A46)+$B$3)))),IF($D$11="",IF($D$13="",INDEX(orderHistory[payed],SMALL(IF(ISNUMBER(MATCH(orderHistory[customer],$D$9,0)),MATCH(ROW(orderHistory[customer]),ROW(orderHistory[customer])),""),ROWS($A$15:A46)+$B$3)),INDEX(orderHistory[payed],SMALL(IF(ISNUMBER(MATCH(orderHistory[customer],$D$9,0)*MATCH(orderHistory[order_type],$D$13,0)),MATCH(ROW(orderHistory[customer]),ROW(orderHistory[customer])),""),ROWS($A$15:A46)+$B$3))),IF($D$13="",INDEX(orderHistory[payed],SMALL(IF(ISNUMBER(MATCH(orderHistory[customer],$D$9,0)*MATCH(orderHistory[status],$D$11,0)),MATCH(ROW(orderHistory[customer]),ROW(orderHistory[customer])),""),ROWS($A$15:A46)+$B$3)),INDEX(orderHistory[payed],SMALL(IF(ISNUMBER(MATCH(orderHistory[customer],$D$9,0)*MATCH(orderHistory[status],$D$11,0)*MATCH(orderHistory[order_type],$D$13,0)),MATCH(ROW(orderHistory[customer]),ROW(orderHistory[customer])),""),ROWS($A$15:A46)+$B$3))))),"")</f>
        <v/>
      </c>
      <c r="U41" s="386" t="str">
        <f t="array" ref="U41">IFERROR(IF($D$9="",IF($D$11="",IF($D$13="",INDEX(orderHistory[shipping_method],SMALL(MATCH(ROW(orderHistory[customer]),ROW(orderHistory[customer])),ROWS($A$15:A46)+$B$3)),INDEX(orderHistory[shipping_method],SMALL(IF(ISNUMBER(MATCH(orderHistory[order_type],$D$13,0)),MATCH(ROW(orderHistory[customer]),ROW(orderHistory[customer])),""),ROWS($A$15:A46)+$B$3))),IF($D$13="",INDEX(orderHistory[shipping_method],SMALL(IF(ISNUMBER(MATCH(orderHistory[status],$D$11,0)),MATCH(ROW(orderHistory[customer]),ROW(orderHistory[customer])),""),ROWS($A$15:A46)+$B$3)),INDEX(orderHistory[shipping_method],SMALL(IF(ISNUMBER(MATCH(orderHistory[status],$D$11,0)*MATCH(orderHistory[order_type],$D$13,0)),MATCH(ROW(orderHistory[customer]),ROW(orderHistory[customer])),""),ROWS($A$15:A46)+$B$3)))),IF($D$11="",IF($D$13="",INDEX(orderHistory[shipping_method],SMALL(IF(ISNUMBER(MATCH(orderHistory[customer],$D$9,0)),MATCH(ROW(orderHistory[customer]),ROW(orderHistory[customer])),""),ROWS($A$15:A46)+$B$3)),INDEX(orderHistory[shipping_method],SMALL(IF(ISNUMBER(MATCH(orderHistory[customer],$D$9,0)*MATCH(orderHistory[order_type],$D$13,0)),MATCH(ROW(orderHistory[customer]),ROW(orderHistory[customer])),""),ROWS($A$15:A46)+$B$3))),IF($D$13="",INDEX(orderHistory[shipping_method],SMALL(IF(ISNUMBER(MATCH(orderHistory[customer],$D$9,0)*MATCH(orderHistory[status],$D$11,0)),MATCH(ROW(orderHistory[customer]),ROW(orderHistory[customer])),""),ROWS($A$15:A46)+$B$3)),INDEX(orderHistory[shipping_method],SMALL(IF(ISNUMBER(MATCH(orderHistory[customer],$D$9,0)*MATCH(orderHistory[status],$D$11,0)*MATCH(orderHistory[order_type],$D$13,0)),MATCH(ROW(orderHistory[customer]),ROW(orderHistory[customer])),""),ROWS($A$15:A46)+$B$3))))),"")</f>
        <v/>
      </c>
      <c r="V41" s="387" t="str">
        <f t="array" ref="V41">IFERROR(IF($D$9="",IF($D$11="",IF($D$13="",INDEX(orderHistory[status],SMALL(MATCH(ROW(orderHistory[customer]),ROW(orderHistory[customer])),ROWS($A$15:A46)+$B$3)),INDEX(orderHistory[status],SMALL(IF(ISNUMBER(MATCH(orderHistory[order_type],$D$13,0)),MATCH(ROW(orderHistory[customer]),ROW(orderHistory[customer])),""),ROWS($A$15:A46)+$B$3))),IF($D$13="",INDEX(orderHistory[status],SMALL(IF(ISNUMBER(MATCH(orderHistory[status],$D$11,0)),MATCH(ROW(orderHistory[customer]),ROW(orderHistory[customer])),""),ROWS($A$15:A46)+$B$3)),INDEX(orderHistory[status],SMALL(IF(ISNUMBER(MATCH(orderHistory[status],$D$11,0)*MATCH(orderHistory[order_type],$D$13,0)),MATCH(ROW(orderHistory[customer]),ROW(orderHistory[customer])),""),ROWS($A$15:A46)+$B$3)))),IF($D$11="",IF($D$13="",INDEX(orderHistory[status],SMALL(IF(ISNUMBER(MATCH(orderHistory[customer],$D$9,0)),MATCH(ROW(orderHistory[customer]),ROW(orderHistory[customer])),""),ROWS($A$15:A46)+$B$3)),INDEX(orderHistory[status],SMALL(IF(ISNUMBER(MATCH(orderHistory[customer],$D$9,0)*MATCH(orderHistory[order_type],$D$13,0)),MATCH(ROW(orderHistory[customer]),ROW(orderHistory[customer])),""),ROWS($A$15:A46)+$B$3))),IF($D$13="",INDEX(orderHistory[status],SMALL(IF(ISNUMBER(MATCH(orderHistory[customer],$D$9,0)*MATCH(orderHistory[status],$D$11,0)),MATCH(ROW(orderHistory[customer]),ROW(orderHistory[customer])),""),ROWS($A$15:A46)+$B$3)),INDEX(orderHistory[status],SMALL(IF(ISNUMBER(MATCH(orderHistory[customer],$D$9,0)*MATCH(orderHistory[status],$D$11,0)*MATCH(orderHistory[order_type],$D$13,0)),MATCH(ROW(orderHistory[customer]),ROW(orderHistory[customer])),""),ROWS($A$15:A46)+$B$3))))),"")</f>
        <v/>
      </c>
      <c r="W41" s="187"/>
      <c r="BK41" s="146"/>
      <c r="BL41" s="147"/>
      <c r="BM41" s="148"/>
      <c r="BN41" s="147"/>
      <c r="BO41" s="148"/>
      <c r="BZ41" s="295"/>
      <c r="CA41" s="270" t="str">
        <f>IF(BZ41="","",VLOOKUP(BZ41,bhpc_data[],7,FALSE))</f>
        <v/>
      </c>
      <c r="CB41" s="296"/>
      <c r="CC41" s="642"/>
      <c r="CD41" s="297"/>
      <c r="CE41" s="645"/>
      <c r="CF41" s="298"/>
      <c r="CG41" s="301" t="str">
        <f>IFERROR(ROUNDUP(CB41/VLOOKUP(BZ41,bhpc_data[],9,FALSE),0)+ROUNDUP(CD41/VLOOKUP(BZ41,bhpc_data[],9,FALSE),0),"")</f>
        <v/>
      </c>
      <c r="CH41" s="302" t="str">
        <f>IFERROR(ROUNDUP(CD41/VLOOKUP(BZ41,bhpc_data[],9,FALSE),0),"")</f>
        <v/>
      </c>
      <c r="CI41" s="302" t="str">
        <f>IFERROR(ROUNDUP(CF41/VLOOKUP(BZ41,bhpc_data[],9,FALSE),0),"")</f>
        <v/>
      </c>
      <c r="CJ41" s="302" t="str">
        <f>IFERROR(((CB41+CD41+CF41)/VLOOKUP(BZ41,bhpc_data[],9,FALSE))*VLOOKUP(BZ41,bhpc_data[],17,FALSE),"")</f>
        <v/>
      </c>
      <c r="CK41" s="302" t="str">
        <f>IFERROR(((CB41+CD41+CF41)/VLOOKUP(BZ41,bhpc_data[],9,FALSE))*VLOOKUP(BZ41,bhpc_data[],18,FALSE),"")</f>
        <v/>
      </c>
      <c r="CL41" s="346" t="str">
        <f>IFERROR((CB41+CD41)/VLOOKUP(BZ41,bhpc_data[],9,FALSE)*VLOOKUP(BZ41,bhpc_data[],14,FALSE)*VLOOKUP(BZ41,bhpc_data[],15,FALSE)*VLOOKUP(BZ41,bhpc_data[],16,FALSE)/1000000000,"")</f>
        <v/>
      </c>
      <c r="CM41" s="409" t="str">
        <f>IFERROR(VLOOKUP(BZ41,bhpc_data[],2,FALSE),"")</f>
        <v/>
      </c>
      <c r="CN41" s="409" t="str">
        <f>IFERROR(VLOOKUP(BZ41,bhpc_data[],19,FALSE),"")</f>
        <v/>
      </c>
      <c r="CO41" s="653" t="str">
        <f>IFERROR(VLOOKUP(BZ41,bhpc_data[],6,FALSE),"")</f>
        <v/>
      </c>
      <c r="CP41" s="654" t="str">
        <f>IFERROR(VLOOKUP(BZ41,inventory[],4,FALSE),"")</f>
        <v/>
      </c>
      <c r="CQ41" s="651" t="str">
        <f>IFERROR(IF(BZ41="","",IF($BX$15="SALE",VLOOKUP(BZ41,inventory[],5,FALSE),IF($BX$15="SAMPLING",VLOOKUP(BZ41,inventory[],5,FALSE),""))),"")</f>
        <v/>
      </c>
      <c r="CR41" s="652" t="str">
        <f>IFERROR(IF(BZ41="","",(CB41+CD41+CF41)*CQ41),"")</f>
        <v/>
      </c>
      <c r="CS41" s="557" t="str">
        <f>IF(BZ41="","",CB41*CC41+CD41*CE41)</f>
        <v/>
      </c>
      <c r="CU41" s="603"/>
      <c r="CV41" s="604" t="s">
        <v>1177</v>
      </c>
      <c r="CW41" s="605"/>
      <c r="CX41" s="605"/>
      <c r="CY41" s="605"/>
      <c r="CZ41" s="606"/>
      <c r="DF41" s="131"/>
      <c r="DG41" s="120"/>
      <c r="DH41" s="162"/>
      <c r="DI41" s="120"/>
      <c r="DJ41" s="289"/>
      <c r="DK41" s="288"/>
      <c r="DL41" s="288"/>
      <c r="DM41" s="288"/>
      <c r="DN41" s="288"/>
      <c r="DO41" s="288"/>
      <c r="DP41" s="288"/>
      <c r="DQ41" s="288"/>
      <c r="DR41" s="288"/>
      <c r="DS41" s="288"/>
      <c r="DT41" s="288"/>
      <c r="DU41" s="290"/>
      <c r="DV41" s="121"/>
      <c r="EE41" s="454" t="s">
        <v>106</v>
      </c>
      <c r="EF41" s="447" t="str">
        <f>VLOOKUP(EE41,bhpc_data[],7,FALSE)</f>
        <v>BHPC GIFT SET WOMEN 2 EDP 100ML + DEO 150ML</v>
      </c>
      <c r="EG41" s="555">
        <f>IFERROR(VLOOKUP(EE41,inventory[],4,FALSE),0)</f>
        <v>0</v>
      </c>
      <c r="EH41" s="555">
        <f>IFERROR(VLOOKUP(warehouse[[#This Row],[SKU]],$EQ$10:$ES$38,3,FALSE),0)</f>
        <v>0</v>
      </c>
      <c r="EI41" s="555">
        <f>IFERROR(VLOOKUP(warehouse[[#This Row],[SKU]],$EM$10:$EO$61,3,FALSE),0)</f>
        <v>6</v>
      </c>
      <c r="EJ41" s="555">
        <f>warehouse[[#This Row],[T-1]]+warehouse[[#This Row],[SUPPLY]]-warehouse[[#This Row],[SALE + SAMPLING]]</f>
        <v>-6</v>
      </c>
      <c r="EK41" s="449"/>
      <c r="EM41" s="74" t="s">
        <v>125</v>
      </c>
      <c r="EN41" s="74" t="s">
        <v>126</v>
      </c>
      <c r="EO41" s="431">
        <v>2777</v>
      </c>
    </row>
    <row r="42" spans="6:149" ht="15" customHeight="1" thickBot="1">
      <c r="F42" s="131"/>
      <c r="G42" s="974"/>
      <c r="H42" s="975"/>
      <c r="I42" s="976"/>
      <c r="J42" s="121"/>
      <c r="L42" s="274" t="str">
        <f t="array" ref="L42">IFERROR(IF($D$9="",IF($D$11="",IF($D$13="",INDEX(orderHistory[customer],SMALL(MATCH(ROW(orderHistory[customer]),ROW(orderHistory[customer])),ROWS($A$15:A47)+$B$3)),INDEX(orderHistory[customer],SMALL(IF(ISNUMBER(MATCH(orderHistory[order_type],$D$13,0)),MATCH(ROW(orderHistory[customer]),ROW(orderHistory[customer])),""),ROWS($A$15:A47)+$B$3))),IF($D$13="",INDEX(orderHistory[customer],SMALL(IF(ISNUMBER(MATCH(orderHistory[status],$D$11,0)),MATCH(ROW(orderHistory[customer]),ROW(orderHistory[customer])),""),ROWS($A$15:A47)+$B$3)),INDEX(orderHistory[customer],SMALL(IF(ISNUMBER(MATCH(orderHistory[status],$D$11,0)*MATCH(orderHistory[order_type],$D$13,0)),MATCH(ROW(orderHistory[customer]),ROW(orderHistory[customer])),""),ROWS($A$15:A47)+$B$3)))),IF($D$11="",IF($D$13="",INDEX(orderHistory[customer],SMALL(IF(ISNUMBER(MATCH(orderHistory[customer],$D$9,0)),MATCH(ROW(orderHistory[customer]),ROW(orderHistory[customer])),""),ROWS($A$15:A47)+$B$3)),INDEX(orderHistory[customer],SMALL(IF(ISNUMBER(MATCH(orderHistory[customer],$D$9,0)*MATCH(orderHistory[order_type],$D$13,0)),MATCH(ROW(orderHistory[customer]),ROW(orderHistory[customer])),""),ROWS($A$15:A47)+$B$3))),IF($D$13="",INDEX(orderHistory[customer],SMALL(IF(ISNUMBER(MATCH(orderHistory[customer],$D$9,0)*MATCH(orderHistory[status],$D$11,0)),MATCH(ROW(orderHistory[customer]),ROW(orderHistory[customer])),""),ROWS($A$15:A47)+$B$3)),INDEX(orderHistory[customer],SMALL(IF(ISNUMBER(MATCH(orderHistory[customer],$D$9,0)*MATCH(orderHistory[status],$D$11,0)*MATCH(orderHistory[order_type],$D$13,0)),MATCH(ROW(orderHistory[customer]),ROW(orderHistory[customer])),""),ROWS($A$15:A47)+$B$3))))),"")</f>
        <v/>
      </c>
      <c r="M42" s="391" t="str">
        <f t="array" ref="M42">IFERROR(IF($D$9="",IF($D$11="",IF($D$13="",INDEX(orderHistory[order_no],SMALL(MATCH(ROW(orderHistory[customer]),ROW(orderHistory[customer])),ROWS($A$15:A47)+$B$3)),INDEX(orderHistory[order_no],SMALL(IF(ISNUMBER(MATCH(orderHistory[order_type],$D$13,0)),MATCH(ROW(orderHistory[customer]),ROW(orderHistory[customer])),""),ROWS($A$15:A47)+$B$3))),IF($D$13="",INDEX(orderHistory[order_no],SMALL(IF(ISNUMBER(MATCH(orderHistory[status],$D$11,0)),MATCH(ROW(orderHistory[customer]),ROW(orderHistory[customer])),""),ROWS($A$15:A47)+$B$3)),INDEX(orderHistory[order_no],SMALL(IF(ISNUMBER(MATCH(orderHistory[status],$D$11,0)*MATCH(orderHistory[order_type],$D$13,0)),MATCH(ROW(orderHistory[customer]),ROW(orderHistory[customer])),""),ROWS($A$15:A47)+$B$3)))),IF($D$11="",IF($D$13="",INDEX(orderHistory[order_no],SMALL(IF(ISNUMBER(MATCH(orderHistory[customer],$D$9,0)),MATCH(ROW(orderHistory[customer]),ROW(orderHistory[customer])),""),ROWS($A$15:A47)+$B$3)),INDEX(orderHistory[order_no],SMALL(IF(ISNUMBER(MATCH(orderHistory[customer],$D$9,0)*MATCH(orderHistory[order_type],$D$13,0)),MATCH(ROW(orderHistory[customer]),ROW(orderHistory[customer])),""),ROWS($A$15:A47)+$B$3))),IF($D$13="",INDEX(orderHistory[order_no],SMALL(IF(ISNUMBER(MATCH(orderHistory[customer],$D$9,0)*MATCH(orderHistory[status],$D$11,0)),MATCH(ROW(orderHistory[customer]),ROW(orderHistory[customer])),""),ROWS($A$15:A47)+$B$3)),INDEX(orderHistory[order_no],SMALL(IF(ISNUMBER(MATCH(orderHistory[customer],$D$9,0)*MATCH(orderHistory[status],$D$11,0)*MATCH(orderHistory[order_type],$D$13,0)),MATCH(ROW(orderHistory[customer]),ROW(orderHistory[customer])),""),ROWS($A$15:A47)+$B$3))))),"")</f>
        <v/>
      </c>
      <c r="N42" s="386" t="str">
        <f t="array" ref="N42">IFERROR(IF($D$9="",IF($D$11="",IF($D$13="",INDEX(orderHistory[order_type],SMALL(MATCH(ROW(orderHistory[customer]),ROW(orderHistory[customer])),ROWS($A$15:A47)+$B$3)),INDEX(orderHistory[order_type],SMALL(IF(ISNUMBER(MATCH(orderHistory[order_type],$D$13,0)),MATCH(ROW(orderHistory[customer]),ROW(orderHistory[customer])),""),ROWS($A$15:A47)+$B$3))),IF($D$13="",INDEX(orderHistory[order_type],SMALL(IF(ISNUMBER(MATCH(orderHistory[status],$D$11,0)),MATCH(ROW(orderHistory[customer]),ROW(orderHistory[customer])),""),ROWS($A$15:A47)+$B$3)),INDEX(orderHistory[order_type],SMALL(IF(ISNUMBER(MATCH(orderHistory[status],$D$11,0)*MATCH(orderHistory[order_type],$D$13,0)),MATCH(ROW(orderHistory[customer]),ROW(orderHistory[customer])),""),ROWS($A$15:A47)+$B$3)))),IF($D$11="",IF($D$13="",INDEX(orderHistory[order_type],SMALL(IF(ISNUMBER(MATCH(orderHistory[customer],$D$9,0)),MATCH(ROW(orderHistory[customer]),ROW(orderHistory[customer])),""),ROWS($A$15:A47)+$B$3)),INDEX(orderHistory[order_type],SMALL(IF(ISNUMBER(MATCH(orderHistory[customer],$D$9,0)*MATCH(orderHistory[order_type],$D$13,0)),MATCH(ROW(orderHistory[customer]),ROW(orderHistory[customer])),""),ROWS($A$15:A47)+$B$3))),IF($D$13="",INDEX(orderHistory[order_type],SMALL(IF(ISNUMBER(MATCH(orderHistory[customer],$D$9,0)*MATCH(orderHistory[status],$D$11,0)),MATCH(ROW(orderHistory[customer]),ROW(orderHistory[customer])),""),ROWS($A$15:A47)+$B$3)),INDEX(orderHistory[order_type],SMALL(IF(ISNUMBER(MATCH(orderHistory[customer],$D$9,0)*MATCH(orderHistory[status],$D$11,0)*MATCH(orderHistory[order_type],$D$13,0)),MATCH(ROW(orderHistory[customer]),ROW(orderHistory[customer])),""),ROWS($A$15:A47)+$B$3))))),"")</f>
        <v/>
      </c>
      <c r="O42" s="275" t="str">
        <f t="array" ref="O42">IFERROR(IF($D$9="",IF($D$11="",IF($D$13="",INDEX(orderHistory[order_date],SMALL(MATCH(ROW(orderHistory[customer]),ROW(orderHistory[customer])),ROWS($A$15:A47)+$B$3)),INDEX(orderHistory[order_date],SMALL(IF(ISNUMBER(MATCH(orderHistory[order_type],$D$13,0)),MATCH(ROW(orderHistory[customer]),ROW(orderHistory[customer])),""),ROWS($A$15:A47)+$B$3))),IF($D$13="",INDEX(orderHistory[order_date],SMALL(IF(ISNUMBER(MATCH(orderHistory[status],$D$11,0)),MATCH(ROW(orderHistory[customer]),ROW(orderHistory[customer])),""),ROWS($A$15:A47)+$B$3)),INDEX(orderHistory[order_date],SMALL(IF(ISNUMBER(MATCH(orderHistory[status],$D$11,0)*MATCH(orderHistory[order_type],$D$13,0)),MATCH(ROW(orderHistory[customer]),ROW(orderHistory[customer])),""),ROWS($A$15:A47)+$B$3)))),IF($D$11="",IF($D$13="",INDEX(orderHistory[order_date],SMALL(IF(ISNUMBER(MATCH(orderHistory[customer],$D$9,0)),MATCH(ROW(orderHistory[customer]),ROW(orderHistory[customer])),""),ROWS($A$15:A47)+$B$3)),INDEX(orderHistory[order_date],SMALL(IF(ISNUMBER(MATCH(orderHistory[customer],$D$9,0)*MATCH(orderHistory[order_type],$D$13,0)),MATCH(ROW(orderHistory[customer]),ROW(orderHistory[customer])),""),ROWS($A$15:A47)+$B$3))),IF($D$13="",INDEX(orderHistory[order_date],SMALL(IF(ISNUMBER(MATCH(orderHistory[customer],$D$9,0)*MATCH(orderHistory[status],$D$11,0)),MATCH(ROW(orderHistory[customer]),ROW(orderHistory[customer])),""),ROWS($A$15:A47)+$B$3)),INDEX(orderHistory[order_date],SMALL(IF(ISNUMBER(MATCH(orderHistory[customer],$D$9,0)*MATCH(orderHistory[status],$D$11,0)*MATCH(orderHistory[order_type],$D$13,0)),MATCH(ROW(orderHistory[customer]),ROW(orderHistory[customer])),""),ROWS($A$15:A47)+$B$3))))),"")</f>
        <v/>
      </c>
      <c r="P42" s="379" t="str">
        <f t="array" ref="P42">IF(IFERROR(IF($D$9="",IF($D$11="",IF($D$13="",INDEX(orderHistory[invoice_no],SMALL(MATCH(ROW(orderHistory[customer]),ROW(orderHistory[customer])),ROWS($A$15:A47)+$B$3)),INDEX(orderHistory[invoice_no],SMALL(IF(ISNUMBER(MATCH(orderHistory[order_type],$D$13,0)),MATCH(ROW(orderHistory[customer]),ROW(orderHistory[customer])),""),ROWS($A$15:A47)+$B$3))),IF($D$13="",INDEX(orderHistory[invoice_no],SMALL(IF(ISNUMBER(MATCH(orderHistory[status],$D$11,0)),MATCH(ROW(orderHistory[customer]),ROW(orderHistory[customer])),""),ROWS($A$15:A47)+$B$3)),INDEX(orderHistory[invoice_no],SMALL(IF(ISNUMBER(MATCH(orderHistory[status],$D$11,0)*MATCH(orderHistory[order_type],$D$13,0)),MATCH(ROW(orderHistory[customer]),ROW(orderHistory[customer])),""),ROWS($A$15:A47)+$B$3)))),IF($D$11="",IF($D$13="",INDEX(orderHistory[invoice_no],SMALL(IF(ISNUMBER(MATCH(orderHistory[customer],$D$9,0)),MATCH(ROW(orderHistory[customer]),ROW(orderHistory[customer])),""),ROWS($A$15:A47)+$B$3)),INDEX(orderHistory[invoice_no],SMALL(IF(ISNUMBER(MATCH(orderHistory[customer],$D$9,0)*MATCH(orderHistory[order_type],$D$13,0)),MATCH(ROW(orderHistory[customer]),ROW(orderHistory[customer])),""),ROWS($A$15:A47)+$B$3))),IF($D$13="",INDEX(orderHistory[invoice_no],SMALL(IF(ISNUMBER(MATCH(orderHistory[customer],$D$9,0)*MATCH(orderHistory[status],$D$11,0)),MATCH(ROW(orderHistory[customer]),ROW(orderHistory[customer])),""),ROWS($A$15:A47)+$B$3)),INDEX(orderHistory[invoice_no],SMALL(IF(ISNUMBER(MATCH(orderHistory[customer],$D$9,0)*MATCH(orderHistory[status],$D$11,0)*MATCH(orderHistory[order_type],$D$13,0)),MATCH(ROW(orderHistory[customer]),ROW(orderHistory[customer])),""),ROWS($A$15:A47)+$B$3))))),"")=0,"",IFERROR(IF($D$9="",IF($D$11="",IF($D$13="",INDEX(orderHistory[invoice_no],SMALL(MATCH(ROW(orderHistory[customer]),ROW(orderHistory[customer])),ROWS($A$15:A47)+$B$3)),INDEX(orderHistory[invoice_no],SMALL(IF(ISNUMBER(MATCH(orderHistory[order_type],$D$13,0)),MATCH(ROW(orderHistory[customer]),ROW(orderHistory[customer])),""),ROWS($A$15:A47)+$B$3))),IF($D$13="",INDEX(orderHistory[invoice_no],SMALL(IF(ISNUMBER(MATCH(orderHistory[status],$D$11,0)),MATCH(ROW(orderHistory[customer]),ROW(orderHistory[customer])),""),ROWS($A$15:A47)+$B$3)),INDEX(orderHistory[invoice_no],SMALL(IF(ISNUMBER(MATCH(orderHistory[status],$D$11,0)*MATCH(orderHistory[order_type],$D$13,0)),MATCH(ROW(orderHistory[customer]),ROW(orderHistory[customer])),""),ROWS($A$15:A47)+$B$3)))),IF($D$11="",IF($D$13="",INDEX(orderHistory[invoice_no],SMALL(IF(ISNUMBER(MATCH(orderHistory[customer],$D$9,0)),MATCH(ROW(orderHistory[customer]),ROW(orderHistory[customer])),""),ROWS($A$15:A47)+$B$3)),INDEX(orderHistory[invoice_no],SMALL(IF(ISNUMBER(MATCH(orderHistory[customer],$D$9,0)*MATCH(orderHistory[order_type],$D$13,0)),MATCH(ROW(orderHistory[customer]),ROW(orderHistory[customer])),""),ROWS($A$15:A47)+$B$3))),IF($D$13="",INDEX(orderHistory[invoice_no],SMALL(IF(ISNUMBER(MATCH(orderHistory[customer],$D$9,0)*MATCH(orderHistory[status],$D$11,0)),MATCH(ROW(orderHistory[customer]),ROW(orderHistory[customer])),""),ROWS($A$15:A47)+$B$3)),INDEX(orderHistory[invoice_no],SMALL(IF(ISNUMBER(MATCH(orderHistory[customer],$D$9,0)*MATCH(orderHistory[status],$D$11,0)*MATCH(orderHistory[order_type],$D$13,0)),MATCH(ROW(orderHistory[customer]),ROW(orderHistory[customer])),""),ROWS($A$15:A47)+$B$3))))),""))</f>
        <v/>
      </c>
      <c r="Q42" s="381" t="str">
        <f t="array" ref="Q42">IF(IFERROR(IF($D$9="",IF($D$11="",IF($D$13="",INDEX(orderHistory[invoice_date],SMALL(MATCH(ROW(orderHistory[customer]),ROW(orderHistory[customer])),ROWS($A$15:A47)+$B$3)),INDEX(orderHistory[invoice_date],SMALL(IF(ISNUMBER(MATCH(orderHistory[order_type],$D$13,0)),MATCH(ROW(orderHistory[customer]),ROW(orderHistory[customer])),""),ROWS($A$15:A47)+$B$3))),IF($D$13="",INDEX(orderHistory[invoice_date],SMALL(IF(ISNUMBER(MATCH(orderHistory[status],$D$11,0)),MATCH(ROW(orderHistory[customer]),ROW(orderHistory[customer])),""),ROWS($A$15:A47)+$B$3)),INDEX(orderHistory[invoice_date],SMALL(IF(ISNUMBER(MATCH(orderHistory[status],$D$11,0)*MATCH(orderHistory[order_type],$D$13,0)),MATCH(ROW(orderHistory[customer]),ROW(orderHistory[customer])),""),ROWS($A$15:A47)+$B$3)))),IF($D$11="",IF($D$13="",INDEX(orderHistory[invoice_date],SMALL(IF(ISNUMBER(MATCH(orderHistory[customer],$D$9,0)),MATCH(ROW(orderHistory[customer]),ROW(orderHistory[customer])),""),ROWS($A$15:A47)+$B$3)),INDEX(orderHistory[invoice_date],SMALL(IF(ISNUMBER(MATCH(orderHistory[customer],$D$9,0)*MATCH(orderHistory[order_type],$D$13,0)),MATCH(ROW(orderHistory[customer]),ROW(orderHistory[customer])),""),ROWS($A$15:A47)+$B$3))),IF($D$13="",INDEX(orderHistory[invoice_date],SMALL(IF(ISNUMBER(MATCH(orderHistory[customer],$D$9,0)*MATCH(orderHistory[status],$D$11,0)),MATCH(ROW(orderHistory[customer]),ROW(orderHistory[customer])),""),ROWS($A$15:A47)+$B$3)),INDEX(orderHistory[invoice_date],SMALL(IF(ISNUMBER(MATCH(orderHistory[customer],$D$9,0)*MATCH(orderHistory[status],$D$11,0)*MATCH(orderHistory[order_type],$D$13,0)),MATCH(ROW(orderHistory[customer]),ROW(orderHistory[customer])),""),ROWS($A$15:A47)+$B$3))))),"")=0,"",IFERROR(IF($D$9="",IF($D$11="",IF($D$13="",INDEX(orderHistory[invoice_date],SMALL(MATCH(ROW(orderHistory[customer]),ROW(orderHistory[customer])),ROWS($A$15:A47)+$B$3)),INDEX(orderHistory[invoice_date],SMALL(IF(ISNUMBER(MATCH(orderHistory[order_type],$D$13,0)),MATCH(ROW(orderHistory[customer]),ROW(orderHistory[customer])),""),ROWS($A$15:A47)+$B$3))),IF($D$13="",INDEX(orderHistory[invoice_date],SMALL(IF(ISNUMBER(MATCH(orderHistory[status],$D$11,0)),MATCH(ROW(orderHistory[customer]),ROW(orderHistory[customer])),""),ROWS($A$15:A47)+$B$3)),INDEX(orderHistory[invoice_date],SMALL(IF(ISNUMBER(MATCH(orderHistory[status],$D$11,0)*MATCH(orderHistory[order_type],$D$13,0)),MATCH(ROW(orderHistory[customer]),ROW(orderHistory[customer])),""),ROWS($A$15:A47)+$B$3)))),IF($D$11="",IF($D$13="",INDEX(orderHistory[invoice_date],SMALL(IF(ISNUMBER(MATCH(orderHistory[customer],$D$9,0)),MATCH(ROW(orderHistory[customer]),ROW(orderHistory[customer])),""),ROWS($A$15:A47)+$B$3)),INDEX(orderHistory[invoice_date],SMALL(IF(ISNUMBER(MATCH(orderHistory[customer],$D$9,0)*MATCH(orderHistory[order_type],$D$13,0)),MATCH(ROW(orderHistory[customer]),ROW(orderHistory[customer])),""),ROWS($A$15:A47)+$B$3))),IF($D$13="",INDEX(orderHistory[invoice_date],SMALL(IF(ISNUMBER(MATCH(orderHistory[customer],$D$9,0)*MATCH(orderHistory[status],$D$11,0)),MATCH(ROW(orderHistory[customer]),ROW(orderHistory[customer])),""),ROWS($A$15:A47)+$B$3)),INDEX(orderHistory[invoice_date],SMALL(IF(ISNUMBER(MATCH(orderHistory[customer],$D$9,0)*MATCH(orderHistory[status],$D$11,0)*MATCH(orderHistory[order_type],$D$13,0)),MATCH(ROW(orderHistory[customer]),ROW(orderHistory[customer])),""),ROWS($A$15:A47)+$B$3))))),""))</f>
        <v/>
      </c>
      <c r="R42" s="377" t="str">
        <f t="array" ref="R42">IFERROR(IF($D$9="",IF($D$11="",IF($D$13="",INDEX(orderHistory[inv_amount],SMALL(MATCH(ROW(orderHistory[customer]),ROW(orderHistory[customer])),ROWS($A$15:A47)+$B$3)),INDEX(orderHistory[inv_amount],SMALL(IF(ISNUMBER(MATCH(orderHistory[order_type],$D$13,0)),MATCH(ROW(orderHistory[customer]),ROW(orderHistory[customer])),""),ROWS($A$15:A47)+$B$3))),IF($D$13="",INDEX(orderHistory[inv_amount],SMALL(IF(ISNUMBER(MATCH(orderHistory[status],$D$11,0)),MATCH(ROW(orderHistory[customer]),ROW(orderHistory[customer])),""),ROWS($A$15:A47)+$B$3)),INDEX(orderHistory[inv_amount],SMALL(IF(ISNUMBER(MATCH(orderHistory[status],$D$11,0)*MATCH(orderHistory[order_type],$D$13,0)),MATCH(ROW(orderHistory[customer]),ROW(orderHistory[customer])),""),ROWS($A$15:A47)+$B$3)))),IF($D$11="",IF($D$13="",INDEX(orderHistory[inv_amount],SMALL(IF(ISNUMBER(MATCH(orderHistory[customer],$D$9,0)),MATCH(ROW(orderHistory[customer]),ROW(orderHistory[customer])),""),ROWS($A$15:A47)+$B$3)),INDEX(orderHistory[inv_amount],SMALL(IF(ISNUMBER(MATCH(orderHistory[customer],$D$9,0)*MATCH(orderHistory[order_type],$D$13,0)),MATCH(ROW(orderHistory[customer]),ROW(orderHistory[customer])),""),ROWS($A$15:A47)+$B$3))),IF($D$13="",INDEX(orderHistory[inv_amount],SMALL(IF(ISNUMBER(MATCH(orderHistory[customer],$D$9,0)*MATCH(orderHistory[status],$D$11,0)),MATCH(ROW(orderHistory[customer]),ROW(orderHistory[customer])),""),ROWS($A$15:A47)+$B$3)),INDEX(orderHistory[inv_amount],SMALL(IF(ISNUMBER(MATCH(orderHistory[customer],$D$9,0)*MATCH(orderHistory[status],$D$11,0)*MATCH(orderHistory[order_type],$D$13,0)),MATCH(ROW(orderHistory[customer]),ROW(orderHistory[customer])),""),ROWS($A$15:A47)+$B$3))))),"")</f>
        <v/>
      </c>
      <c r="S42" s="383" t="str">
        <f t="shared" ref="S42:S60" si="1">IF(R42="","",IF(N42="SUPPLY","",R42*7%))</f>
        <v/>
      </c>
      <c r="T42" s="385" t="str">
        <f t="array" ref="T42">IFERROR(IF($D$9="",IF($D$11="",IF($D$13="",INDEX(orderHistory[payed],SMALL(MATCH(ROW(orderHistory[customer]),ROW(orderHistory[customer])),ROWS($A$15:A47)+$B$3)),INDEX(orderHistory[payed],SMALL(IF(ISNUMBER(MATCH(orderHistory[order_type],$D$13,0)),MATCH(ROW(orderHistory[customer]),ROW(orderHistory[customer])),""),ROWS($A$15:A47)+$B$3))),IF($D$13="",INDEX(orderHistory[payed],SMALL(IF(ISNUMBER(MATCH(orderHistory[status],$D$11,0)),MATCH(ROW(orderHistory[customer]),ROW(orderHistory[customer])),""),ROWS($A$15:A47)+$B$3)),INDEX(orderHistory[payed],SMALL(IF(ISNUMBER(MATCH(orderHistory[status],$D$11,0)*MATCH(orderHistory[order_type],$D$13,0)),MATCH(ROW(orderHistory[customer]),ROW(orderHistory[customer])),""),ROWS($A$15:A47)+$B$3)))),IF($D$11="",IF($D$13="",INDEX(orderHistory[payed],SMALL(IF(ISNUMBER(MATCH(orderHistory[customer],$D$9,0)),MATCH(ROW(orderHistory[customer]),ROW(orderHistory[customer])),""),ROWS($A$15:A47)+$B$3)),INDEX(orderHistory[payed],SMALL(IF(ISNUMBER(MATCH(orderHistory[customer],$D$9,0)*MATCH(orderHistory[order_type],$D$13,0)),MATCH(ROW(orderHistory[customer]),ROW(orderHistory[customer])),""),ROWS($A$15:A47)+$B$3))),IF($D$13="",INDEX(orderHistory[payed],SMALL(IF(ISNUMBER(MATCH(orderHistory[customer],$D$9,0)*MATCH(orderHistory[status],$D$11,0)),MATCH(ROW(orderHistory[customer]),ROW(orderHistory[customer])),""),ROWS($A$15:A47)+$B$3)),INDEX(orderHistory[payed],SMALL(IF(ISNUMBER(MATCH(orderHistory[customer],$D$9,0)*MATCH(orderHistory[status],$D$11,0)*MATCH(orderHistory[order_type],$D$13,0)),MATCH(ROW(orderHistory[customer]),ROW(orderHistory[customer])),""),ROWS($A$15:A47)+$B$3))))),"")</f>
        <v/>
      </c>
      <c r="U42" s="386" t="str">
        <f t="array" ref="U42">IFERROR(IF($D$9="",IF($D$11="",IF($D$13="",INDEX(orderHistory[shipping_method],SMALL(MATCH(ROW(orderHistory[customer]),ROW(orderHistory[customer])),ROWS($A$15:A47)+$B$3)),INDEX(orderHistory[shipping_method],SMALL(IF(ISNUMBER(MATCH(orderHistory[order_type],$D$13,0)),MATCH(ROW(orderHistory[customer]),ROW(orderHistory[customer])),""),ROWS($A$15:A47)+$B$3))),IF($D$13="",INDEX(orderHistory[shipping_method],SMALL(IF(ISNUMBER(MATCH(orderHistory[status],$D$11,0)),MATCH(ROW(orderHistory[customer]),ROW(orderHistory[customer])),""),ROWS($A$15:A47)+$B$3)),INDEX(orderHistory[shipping_method],SMALL(IF(ISNUMBER(MATCH(orderHistory[status],$D$11,0)*MATCH(orderHistory[order_type],$D$13,0)),MATCH(ROW(orderHistory[customer]),ROW(orderHistory[customer])),""),ROWS($A$15:A47)+$B$3)))),IF($D$11="",IF($D$13="",INDEX(orderHistory[shipping_method],SMALL(IF(ISNUMBER(MATCH(orderHistory[customer],$D$9,0)),MATCH(ROW(orderHistory[customer]),ROW(orderHistory[customer])),""),ROWS($A$15:A47)+$B$3)),INDEX(orderHistory[shipping_method],SMALL(IF(ISNUMBER(MATCH(orderHistory[customer],$D$9,0)*MATCH(orderHistory[order_type],$D$13,0)),MATCH(ROW(orderHistory[customer]),ROW(orderHistory[customer])),""),ROWS($A$15:A47)+$B$3))),IF($D$13="",INDEX(orderHistory[shipping_method],SMALL(IF(ISNUMBER(MATCH(orderHistory[customer],$D$9,0)*MATCH(orderHistory[status],$D$11,0)),MATCH(ROW(orderHistory[customer]),ROW(orderHistory[customer])),""),ROWS($A$15:A47)+$B$3)),INDEX(orderHistory[shipping_method],SMALL(IF(ISNUMBER(MATCH(orderHistory[customer],$D$9,0)*MATCH(orderHistory[status],$D$11,0)*MATCH(orderHistory[order_type],$D$13,0)),MATCH(ROW(orderHistory[customer]),ROW(orderHistory[customer])),""),ROWS($A$15:A47)+$B$3))))),"")</f>
        <v/>
      </c>
      <c r="V42" s="387" t="str">
        <f t="array" ref="V42">IFERROR(IF($D$9="",IF($D$11="",IF($D$13="",INDEX(orderHistory[status],SMALL(MATCH(ROW(orderHistory[customer]),ROW(orderHistory[customer])),ROWS($A$15:A47)+$B$3)),INDEX(orderHistory[status],SMALL(IF(ISNUMBER(MATCH(orderHistory[order_type],$D$13,0)),MATCH(ROW(orderHistory[customer]),ROW(orderHistory[customer])),""),ROWS($A$15:A47)+$B$3))),IF($D$13="",INDEX(orderHistory[status],SMALL(IF(ISNUMBER(MATCH(orderHistory[status],$D$11,0)),MATCH(ROW(orderHistory[customer]),ROW(orderHistory[customer])),""),ROWS($A$15:A47)+$B$3)),INDEX(orderHistory[status],SMALL(IF(ISNUMBER(MATCH(orderHistory[status],$D$11,0)*MATCH(orderHistory[order_type],$D$13,0)),MATCH(ROW(orderHistory[customer]),ROW(orderHistory[customer])),""),ROWS($A$15:A47)+$B$3)))),IF($D$11="",IF($D$13="",INDEX(orderHistory[status],SMALL(IF(ISNUMBER(MATCH(orderHistory[customer],$D$9,0)),MATCH(ROW(orderHistory[customer]),ROW(orderHistory[customer])),""),ROWS($A$15:A47)+$B$3)),INDEX(orderHistory[status],SMALL(IF(ISNUMBER(MATCH(orderHistory[customer],$D$9,0)*MATCH(orderHistory[order_type],$D$13,0)),MATCH(ROW(orderHistory[customer]),ROW(orderHistory[customer])),""),ROWS($A$15:A47)+$B$3))),IF($D$13="",INDEX(orderHistory[status],SMALL(IF(ISNUMBER(MATCH(orderHistory[customer],$D$9,0)*MATCH(orderHistory[status],$D$11,0)),MATCH(ROW(orderHistory[customer]),ROW(orderHistory[customer])),""),ROWS($A$15:A47)+$B$3)),INDEX(orderHistory[status],SMALL(IF(ISNUMBER(MATCH(orderHistory[customer],$D$9,0)*MATCH(orderHistory[status],$D$11,0)*MATCH(orderHistory[order_type],$D$13,0)),MATCH(ROW(orderHistory[customer]),ROW(orderHistory[customer])),""),ROWS($A$15:A47)+$B$3))))),"")</f>
        <v/>
      </c>
      <c r="W42" s="188"/>
      <c r="BG42" s="142"/>
      <c r="BK42" s="146"/>
      <c r="BL42" s="147"/>
      <c r="BM42" s="148"/>
      <c r="BN42" s="147"/>
      <c r="BO42" s="148"/>
      <c r="BZ42" s="295"/>
      <c r="CA42" s="270" t="str">
        <f>IF(BZ42="","",VLOOKUP(BZ42,bhpc_data[],7,FALSE))</f>
        <v/>
      </c>
      <c r="CB42" s="296"/>
      <c r="CC42" s="642"/>
      <c r="CD42" s="297"/>
      <c r="CE42" s="645"/>
      <c r="CF42" s="298"/>
      <c r="CG42" s="301" t="str">
        <f>IFERROR(ROUNDUP(CB42/VLOOKUP(BZ42,bhpc_data[],9,FALSE),0)+ROUNDUP(CD42/VLOOKUP(BZ42,bhpc_data[],9,FALSE),0),"")</f>
        <v/>
      </c>
      <c r="CH42" s="302" t="str">
        <f>IFERROR(ROUNDUP(CD42/VLOOKUP(BZ42,bhpc_data[],9,FALSE),0),"")</f>
        <v/>
      </c>
      <c r="CI42" s="302" t="str">
        <f>IFERROR(ROUNDUP(CF42/VLOOKUP(BZ42,bhpc_data[],9,FALSE),0),"")</f>
        <v/>
      </c>
      <c r="CJ42" s="302" t="str">
        <f>IFERROR(((CB42+CD42+CF42)/VLOOKUP(BZ42,bhpc_data[],9,FALSE))*VLOOKUP(BZ42,bhpc_data[],17,FALSE),"")</f>
        <v/>
      </c>
      <c r="CK42" s="302" t="str">
        <f>IFERROR(((CB42+CD42+CF42)/VLOOKUP(BZ42,bhpc_data[],9,FALSE))*VLOOKUP(BZ42,bhpc_data[],18,FALSE),"")</f>
        <v/>
      </c>
      <c r="CL42" s="346" t="str">
        <f>IFERROR((CB42+CD42)/VLOOKUP(BZ42,bhpc_data[],9,FALSE)*VLOOKUP(BZ42,bhpc_data[],14,FALSE)*VLOOKUP(BZ42,bhpc_data[],15,FALSE)*VLOOKUP(BZ42,bhpc_data[],16,FALSE)/1000000000,"")</f>
        <v/>
      </c>
      <c r="CM42" s="409" t="str">
        <f>IFERROR(VLOOKUP(BZ42,bhpc_data[],2,FALSE),"")</f>
        <v/>
      </c>
      <c r="CN42" s="409" t="str">
        <f>IFERROR(VLOOKUP(BZ42,bhpc_data[],19,FALSE),"")</f>
        <v/>
      </c>
      <c r="CO42" s="653" t="str">
        <f>IFERROR(VLOOKUP(BZ42,bhpc_data[],6,FALSE),"")</f>
        <v/>
      </c>
      <c r="CP42" s="654" t="str">
        <f>IFERROR(VLOOKUP(BZ42,inventory[],4,FALSE),"")</f>
        <v/>
      </c>
      <c r="CQ42" s="651" t="str">
        <f>IFERROR(IF(BZ42="","",IF($BX$15="SALE",VLOOKUP(BZ42,inventory[],5,FALSE),IF($BX$15="SAMPLING",VLOOKUP(BZ42,inventory[],5,FALSE),""))),"")</f>
        <v/>
      </c>
      <c r="CR42" s="652" t="str">
        <f>IFERROR(IF(BZ42="","",(CB42+CD42+CF42)*CQ42),"")</f>
        <v/>
      </c>
      <c r="CS42" s="557" t="str">
        <f>IF(BZ42="","",CB42*CC42+CD42*CE42)</f>
        <v/>
      </c>
      <c r="CU42" s="607"/>
      <c r="CV42" s="411" t="s">
        <v>74</v>
      </c>
      <c r="CW42" s="411" t="s">
        <v>128</v>
      </c>
      <c r="CX42" s="411" t="s">
        <v>170</v>
      </c>
      <c r="CY42" s="411" t="s">
        <v>37</v>
      </c>
      <c r="CZ42" s="608"/>
      <c r="DA42" s="540" t="str">
        <f>IFERROR(VLOOKUP(BZ42,bhpc_data[],22,FALSE),"")</f>
        <v/>
      </c>
      <c r="DF42" s="167"/>
      <c r="DG42" s="122"/>
      <c r="DH42" s="168"/>
      <c r="DI42" s="122"/>
      <c r="DJ42" s="122"/>
      <c r="DK42" s="122"/>
      <c r="DL42" s="122"/>
      <c r="DM42" s="122"/>
      <c r="DN42" s="122"/>
      <c r="DO42" s="122"/>
      <c r="DP42" s="122"/>
      <c r="DQ42" s="122"/>
      <c r="DR42" s="122"/>
      <c r="DS42" s="122"/>
      <c r="DT42" s="122"/>
      <c r="DU42" s="122"/>
      <c r="DV42" s="123"/>
      <c r="EE42" s="454" t="s">
        <v>108</v>
      </c>
      <c r="EF42" s="447" t="str">
        <f>VLOOKUP(EE42,bhpc_data[],7,FALSE)</f>
        <v xml:space="preserve">BHPC GIFTSET PRESTIGE TROPHY EDP100ML + DEO 300ML </v>
      </c>
      <c r="EG42" s="555">
        <f>IFERROR(VLOOKUP(EE42,inventory[],4,FALSE),0)</f>
        <v>0</v>
      </c>
      <c r="EH42" s="555">
        <f>IFERROR(VLOOKUP(warehouse[[#This Row],[SKU]],$EQ$10:$ES$38,3,FALSE),0)</f>
        <v>0</v>
      </c>
      <c r="EI42" s="555">
        <f>IFERROR(VLOOKUP(warehouse[[#This Row],[SKU]],$EM$10:$EO$61,3,FALSE),0)</f>
        <v>6000</v>
      </c>
      <c r="EJ42" s="555">
        <f>warehouse[[#This Row],[T-1]]+warehouse[[#This Row],[SUPPLY]]-warehouse[[#This Row],[SALE + SAMPLING]]</f>
        <v>-6000</v>
      </c>
      <c r="EK42" s="449"/>
      <c r="EM42" s="74" t="s">
        <v>127</v>
      </c>
      <c r="EN42" s="74" t="s">
        <v>129</v>
      </c>
      <c r="EO42" s="431">
        <v>2616</v>
      </c>
    </row>
    <row r="43" spans="6:149" ht="15" customHeight="1" thickBot="1">
      <c r="F43" s="129"/>
      <c r="G43" s="664"/>
      <c r="H43" s="664"/>
      <c r="I43" s="664"/>
      <c r="J43" s="123"/>
      <c r="L43" s="274" t="str">
        <f t="array" ref="L43">IFERROR(IF($D$9="",IF($D$11="",IF($D$13="",INDEX(orderHistory[customer],SMALL(MATCH(ROW(orderHistory[customer]),ROW(orderHistory[customer])),ROWS($A$15:A48)+$B$3)),INDEX(orderHistory[customer],SMALL(IF(ISNUMBER(MATCH(orderHistory[order_type],$D$13,0)),MATCH(ROW(orderHistory[customer]),ROW(orderHistory[customer])),""),ROWS($A$15:A48)+$B$3))),IF($D$13="",INDEX(orderHistory[customer],SMALL(IF(ISNUMBER(MATCH(orderHistory[status],$D$11,0)),MATCH(ROW(orderHistory[customer]),ROW(orderHistory[customer])),""),ROWS($A$15:A48)+$B$3)),INDEX(orderHistory[customer],SMALL(IF(ISNUMBER(MATCH(orderHistory[status],$D$11,0)*MATCH(orderHistory[order_type],$D$13,0)),MATCH(ROW(orderHistory[customer]),ROW(orderHistory[customer])),""),ROWS($A$15:A48)+$B$3)))),IF($D$11="",IF($D$13="",INDEX(orderHistory[customer],SMALL(IF(ISNUMBER(MATCH(orderHistory[customer],$D$9,0)),MATCH(ROW(orderHistory[customer]),ROW(orderHistory[customer])),""),ROWS($A$15:A48)+$B$3)),INDEX(orderHistory[customer],SMALL(IF(ISNUMBER(MATCH(orderHistory[customer],$D$9,0)*MATCH(orderHistory[order_type],$D$13,0)),MATCH(ROW(orderHistory[customer]),ROW(orderHistory[customer])),""),ROWS($A$15:A48)+$B$3))),IF($D$13="",INDEX(orderHistory[customer],SMALL(IF(ISNUMBER(MATCH(orderHistory[customer],$D$9,0)*MATCH(orderHistory[status],$D$11,0)),MATCH(ROW(orderHistory[customer]),ROW(orderHistory[customer])),""),ROWS($A$15:A48)+$B$3)),INDEX(orderHistory[customer],SMALL(IF(ISNUMBER(MATCH(orderHistory[customer],$D$9,0)*MATCH(orderHistory[status],$D$11,0)*MATCH(orderHistory[order_type],$D$13,0)),MATCH(ROW(orderHistory[customer]),ROW(orderHistory[customer])),""),ROWS($A$15:A48)+$B$3))))),"")</f>
        <v/>
      </c>
      <c r="M43" s="391" t="str">
        <f t="array" ref="M43">IFERROR(IF($D$9="",IF($D$11="",IF($D$13="",INDEX(orderHistory[order_no],SMALL(MATCH(ROW(orderHistory[customer]),ROW(orderHistory[customer])),ROWS($A$15:A48)+$B$3)),INDEX(orderHistory[order_no],SMALL(IF(ISNUMBER(MATCH(orderHistory[order_type],$D$13,0)),MATCH(ROW(orderHistory[customer]),ROW(orderHistory[customer])),""),ROWS($A$15:A48)+$B$3))),IF($D$13="",INDEX(orderHistory[order_no],SMALL(IF(ISNUMBER(MATCH(orderHistory[status],$D$11,0)),MATCH(ROW(orderHistory[customer]),ROW(orderHistory[customer])),""),ROWS($A$15:A48)+$B$3)),INDEX(orderHistory[order_no],SMALL(IF(ISNUMBER(MATCH(orderHistory[status],$D$11,0)*MATCH(orderHistory[order_type],$D$13,0)),MATCH(ROW(orderHistory[customer]),ROW(orderHistory[customer])),""),ROWS($A$15:A48)+$B$3)))),IF($D$11="",IF($D$13="",INDEX(orderHistory[order_no],SMALL(IF(ISNUMBER(MATCH(orderHistory[customer],$D$9,0)),MATCH(ROW(orderHistory[customer]),ROW(orderHistory[customer])),""),ROWS($A$15:A48)+$B$3)),INDEX(orderHistory[order_no],SMALL(IF(ISNUMBER(MATCH(orderHistory[customer],$D$9,0)*MATCH(orderHistory[order_type],$D$13,0)),MATCH(ROW(orderHistory[customer]),ROW(orderHistory[customer])),""),ROWS($A$15:A48)+$B$3))),IF($D$13="",INDEX(orderHistory[order_no],SMALL(IF(ISNUMBER(MATCH(orderHistory[customer],$D$9,0)*MATCH(orderHistory[status],$D$11,0)),MATCH(ROW(orderHistory[customer]),ROW(orderHistory[customer])),""),ROWS($A$15:A48)+$B$3)),INDEX(orderHistory[order_no],SMALL(IF(ISNUMBER(MATCH(orderHistory[customer],$D$9,0)*MATCH(orderHistory[status],$D$11,0)*MATCH(orderHistory[order_type],$D$13,0)),MATCH(ROW(orderHistory[customer]),ROW(orderHistory[customer])),""),ROWS($A$15:A48)+$B$3))))),"")</f>
        <v/>
      </c>
      <c r="N43" s="386" t="str">
        <f t="array" ref="N43">IFERROR(IF($D$9="",IF($D$11="",IF($D$13="",INDEX(orderHistory[order_type],SMALL(MATCH(ROW(orderHistory[customer]),ROW(orderHistory[customer])),ROWS($A$15:A48)+$B$3)),INDEX(orderHistory[order_type],SMALL(IF(ISNUMBER(MATCH(orderHistory[order_type],$D$13,0)),MATCH(ROW(orderHistory[customer]),ROW(orderHistory[customer])),""),ROWS($A$15:A48)+$B$3))),IF($D$13="",INDEX(orderHistory[order_type],SMALL(IF(ISNUMBER(MATCH(orderHistory[status],$D$11,0)),MATCH(ROW(orderHistory[customer]),ROW(orderHistory[customer])),""),ROWS($A$15:A48)+$B$3)),INDEX(orderHistory[order_type],SMALL(IF(ISNUMBER(MATCH(orderHistory[status],$D$11,0)*MATCH(orderHistory[order_type],$D$13,0)),MATCH(ROW(orderHistory[customer]),ROW(orderHistory[customer])),""),ROWS($A$15:A48)+$B$3)))),IF($D$11="",IF($D$13="",INDEX(orderHistory[order_type],SMALL(IF(ISNUMBER(MATCH(orderHistory[customer],$D$9,0)),MATCH(ROW(orderHistory[customer]),ROW(orderHistory[customer])),""),ROWS($A$15:A48)+$B$3)),INDEX(orderHistory[order_type],SMALL(IF(ISNUMBER(MATCH(orderHistory[customer],$D$9,0)*MATCH(orderHistory[order_type],$D$13,0)),MATCH(ROW(orderHistory[customer]),ROW(orderHistory[customer])),""),ROWS($A$15:A48)+$B$3))),IF($D$13="",INDEX(orderHistory[order_type],SMALL(IF(ISNUMBER(MATCH(orderHistory[customer],$D$9,0)*MATCH(orderHistory[status],$D$11,0)),MATCH(ROW(orderHistory[customer]),ROW(orderHistory[customer])),""),ROWS($A$15:A48)+$B$3)),INDEX(orderHistory[order_type],SMALL(IF(ISNUMBER(MATCH(orderHistory[customer],$D$9,0)*MATCH(orderHistory[status],$D$11,0)*MATCH(orderHistory[order_type],$D$13,0)),MATCH(ROW(orderHistory[customer]),ROW(orderHistory[customer])),""),ROWS($A$15:A48)+$B$3))))),"")</f>
        <v/>
      </c>
      <c r="O43" s="275" t="str">
        <f t="array" ref="O43">IFERROR(IF($D$9="",IF($D$11="",IF($D$13="",INDEX(orderHistory[order_date],SMALL(MATCH(ROW(orderHistory[customer]),ROW(orderHistory[customer])),ROWS($A$15:A48)+$B$3)),INDEX(orderHistory[order_date],SMALL(IF(ISNUMBER(MATCH(orderHistory[order_type],$D$13,0)),MATCH(ROW(orderHistory[customer]),ROW(orderHistory[customer])),""),ROWS($A$15:A48)+$B$3))),IF($D$13="",INDEX(orderHistory[order_date],SMALL(IF(ISNUMBER(MATCH(orderHistory[status],$D$11,0)),MATCH(ROW(orderHistory[customer]),ROW(orderHistory[customer])),""),ROWS($A$15:A48)+$B$3)),INDEX(orderHistory[order_date],SMALL(IF(ISNUMBER(MATCH(orderHistory[status],$D$11,0)*MATCH(orderHistory[order_type],$D$13,0)),MATCH(ROW(orderHistory[customer]),ROW(orderHistory[customer])),""),ROWS($A$15:A48)+$B$3)))),IF($D$11="",IF($D$13="",INDEX(orderHistory[order_date],SMALL(IF(ISNUMBER(MATCH(orderHistory[customer],$D$9,0)),MATCH(ROW(orderHistory[customer]),ROW(orderHistory[customer])),""),ROWS($A$15:A48)+$B$3)),INDEX(orderHistory[order_date],SMALL(IF(ISNUMBER(MATCH(orderHistory[customer],$D$9,0)*MATCH(orderHistory[order_type],$D$13,0)),MATCH(ROW(orderHistory[customer]),ROW(orderHistory[customer])),""),ROWS($A$15:A48)+$B$3))),IF($D$13="",INDEX(orderHistory[order_date],SMALL(IF(ISNUMBER(MATCH(orderHistory[customer],$D$9,0)*MATCH(orderHistory[status],$D$11,0)),MATCH(ROW(orderHistory[customer]),ROW(orderHistory[customer])),""),ROWS($A$15:A48)+$B$3)),INDEX(orderHistory[order_date],SMALL(IF(ISNUMBER(MATCH(orderHistory[customer],$D$9,0)*MATCH(orderHistory[status],$D$11,0)*MATCH(orderHistory[order_type],$D$13,0)),MATCH(ROW(orderHistory[customer]),ROW(orderHistory[customer])),""),ROWS($A$15:A48)+$B$3))))),"")</f>
        <v/>
      </c>
      <c r="P43" s="379" t="str">
        <f t="array" ref="P43">IF(IFERROR(IF($D$9="",IF($D$11="",IF($D$13="",INDEX(orderHistory[invoice_no],SMALL(MATCH(ROW(orderHistory[customer]),ROW(orderHistory[customer])),ROWS($A$15:A48)+$B$3)),INDEX(orderHistory[invoice_no],SMALL(IF(ISNUMBER(MATCH(orderHistory[order_type],$D$13,0)),MATCH(ROW(orderHistory[customer]),ROW(orderHistory[customer])),""),ROWS($A$15:A48)+$B$3))),IF($D$13="",INDEX(orderHistory[invoice_no],SMALL(IF(ISNUMBER(MATCH(orderHistory[status],$D$11,0)),MATCH(ROW(orderHistory[customer]),ROW(orderHistory[customer])),""),ROWS($A$15:A48)+$B$3)),INDEX(orderHistory[invoice_no],SMALL(IF(ISNUMBER(MATCH(orderHistory[status],$D$11,0)*MATCH(orderHistory[order_type],$D$13,0)),MATCH(ROW(orderHistory[customer]),ROW(orderHistory[customer])),""),ROWS($A$15:A48)+$B$3)))),IF($D$11="",IF($D$13="",INDEX(orderHistory[invoice_no],SMALL(IF(ISNUMBER(MATCH(orderHistory[customer],$D$9,0)),MATCH(ROW(orderHistory[customer]),ROW(orderHistory[customer])),""),ROWS($A$15:A48)+$B$3)),INDEX(orderHistory[invoice_no],SMALL(IF(ISNUMBER(MATCH(orderHistory[customer],$D$9,0)*MATCH(orderHistory[order_type],$D$13,0)),MATCH(ROW(orderHistory[customer]),ROW(orderHistory[customer])),""),ROWS($A$15:A48)+$B$3))),IF($D$13="",INDEX(orderHistory[invoice_no],SMALL(IF(ISNUMBER(MATCH(orderHistory[customer],$D$9,0)*MATCH(orderHistory[status],$D$11,0)),MATCH(ROW(orderHistory[customer]),ROW(orderHistory[customer])),""),ROWS($A$15:A48)+$B$3)),INDEX(orderHistory[invoice_no],SMALL(IF(ISNUMBER(MATCH(orderHistory[customer],$D$9,0)*MATCH(orderHistory[status],$D$11,0)*MATCH(orderHistory[order_type],$D$13,0)),MATCH(ROW(orderHistory[customer]),ROW(orderHistory[customer])),""),ROWS($A$15:A48)+$B$3))))),"")=0,"",IFERROR(IF($D$9="",IF($D$11="",IF($D$13="",INDEX(orderHistory[invoice_no],SMALL(MATCH(ROW(orderHistory[customer]),ROW(orderHistory[customer])),ROWS($A$15:A48)+$B$3)),INDEX(orderHistory[invoice_no],SMALL(IF(ISNUMBER(MATCH(orderHistory[order_type],$D$13,0)),MATCH(ROW(orderHistory[customer]),ROW(orderHistory[customer])),""),ROWS($A$15:A48)+$B$3))),IF($D$13="",INDEX(orderHistory[invoice_no],SMALL(IF(ISNUMBER(MATCH(orderHistory[status],$D$11,0)),MATCH(ROW(orderHistory[customer]),ROW(orderHistory[customer])),""),ROWS($A$15:A48)+$B$3)),INDEX(orderHistory[invoice_no],SMALL(IF(ISNUMBER(MATCH(orderHistory[status],$D$11,0)*MATCH(orderHistory[order_type],$D$13,0)),MATCH(ROW(orderHistory[customer]),ROW(orderHistory[customer])),""),ROWS($A$15:A48)+$B$3)))),IF($D$11="",IF($D$13="",INDEX(orderHistory[invoice_no],SMALL(IF(ISNUMBER(MATCH(orderHistory[customer],$D$9,0)),MATCH(ROW(orderHistory[customer]),ROW(orderHistory[customer])),""),ROWS($A$15:A48)+$B$3)),INDEX(orderHistory[invoice_no],SMALL(IF(ISNUMBER(MATCH(orderHistory[customer],$D$9,0)*MATCH(orderHistory[order_type],$D$13,0)),MATCH(ROW(orderHistory[customer]),ROW(orderHistory[customer])),""),ROWS($A$15:A48)+$B$3))),IF($D$13="",INDEX(orderHistory[invoice_no],SMALL(IF(ISNUMBER(MATCH(orderHistory[customer],$D$9,0)*MATCH(orderHistory[status],$D$11,0)),MATCH(ROW(orderHistory[customer]),ROW(orderHistory[customer])),""),ROWS($A$15:A48)+$B$3)),INDEX(orderHistory[invoice_no],SMALL(IF(ISNUMBER(MATCH(orderHistory[customer],$D$9,0)*MATCH(orderHistory[status],$D$11,0)*MATCH(orderHistory[order_type],$D$13,0)),MATCH(ROW(orderHistory[customer]),ROW(orderHistory[customer])),""),ROWS($A$15:A48)+$B$3))))),""))</f>
        <v/>
      </c>
      <c r="Q43" s="381" t="str">
        <f t="array" ref="Q43">IF(IFERROR(IF($D$9="",IF($D$11="",IF($D$13="",INDEX(orderHistory[invoice_date],SMALL(MATCH(ROW(orderHistory[customer]),ROW(orderHistory[customer])),ROWS($A$15:A48)+$B$3)),INDEX(orderHistory[invoice_date],SMALL(IF(ISNUMBER(MATCH(orderHistory[order_type],$D$13,0)),MATCH(ROW(orderHistory[customer]),ROW(orderHistory[customer])),""),ROWS($A$15:A48)+$B$3))),IF($D$13="",INDEX(orderHistory[invoice_date],SMALL(IF(ISNUMBER(MATCH(orderHistory[status],$D$11,0)),MATCH(ROW(orderHistory[customer]),ROW(orderHistory[customer])),""),ROWS($A$15:A48)+$B$3)),INDEX(orderHistory[invoice_date],SMALL(IF(ISNUMBER(MATCH(orderHistory[status],$D$11,0)*MATCH(orderHistory[order_type],$D$13,0)),MATCH(ROW(orderHistory[customer]),ROW(orderHistory[customer])),""),ROWS($A$15:A48)+$B$3)))),IF($D$11="",IF($D$13="",INDEX(orderHistory[invoice_date],SMALL(IF(ISNUMBER(MATCH(orderHistory[customer],$D$9,0)),MATCH(ROW(orderHistory[customer]),ROW(orderHistory[customer])),""),ROWS($A$15:A48)+$B$3)),INDEX(orderHistory[invoice_date],SMALL(IF(ISNUMBER(MATCH(orderHistory[customer],$D$9,0)*MATCH(orderHistory[order_type],$D$13,0)),MATCH(ROW(orderHistory[customer]),ROW(orderHistory[customer])),""),ROWS($A$15:A48)+$B$3))),IF($D$13="",INDEX(orderHistory[invoice_date],SMALL(IF(ISNUMBER(MATCH(orderHistory[customer],$D$9,0)*MATCH(orderHistory[status],$D$11,0)),MATCH(ROW(orderHistory[customer]),ROW(orderHistory[customer])),""),ROWS($A$15:A48)+$B$3)),INDEX(orderHistory[invoice_date],SMALL(IF(ISNUMBER(MATCH(orderHistory[customer],$D$9,0)*MATCH(orderHistory[status],$D$11,0)*MATCH(orderHistory[order_type],$D$13,0)),MATCH(ROW(orderHistory[customer]),ROW(orderHistory[customer])),""),ROWS($A$15:A48)+$B$3))))),"")=0,"",IFERROR(IF($D$9="",IF($D$11="",IF($D$13="",INDEX(orderHistory[invoice_date],SMALL(MATCH(ROW(orderHistory[customer]),ROW(orderHistory[customer])),ROWS($A$15:A48)+$B$3)),INDEX(orderHistory[invoice_date],SMALL(IF(ISNUMBER(MATCH(orderHistory[order_type],$D$13,0)),MATCH(ROW(orderHistory[customer]),ROW(orderHistory[customer])),""),ROWS($A$15:A48)+$B$3))),IF($D$13="",INDEX(orderHistory[invoice_date],SMALL(IF(ISNUMBER(MATCH(orderHistory[status],$D$11,0)),MATCH(ROW(orderHistory[customer]),ROW(orderHistory[customer])),""),ROWS($A$15:A48)+$B$3)),INDEX(orderHistory[invoice_date],SMALL(IF(ISNUMBER(MATCH(orderHistory[status],$D$11,0)*MATCH(orderHistory[order_type],$D$13,0)),MATCH(ROW(orderHistory[customer]),ROW(orderHistory[customer])),""),ROWS($A$15:A48)+$B$3)))),IF($D$11="",IF($D$13="",INDEX(orderHistory[invoice_date],SMALL(IF(ISNUMBER(MATCH(orderHistory[customer],$D$9,0)),MATCH(ROW(orderHistory[customer]),ROW(orderHistory[customer])),""),ROWS($A$15:A48)+$B$3)),INDEX(orderHistory[invoice_date],SMALL(IF(ISNUMBER(MATCH(orderHistory[customer],$D$9,0)*MATCH(orderHistory[order_type],$D$13,0)),MATCH(ROW(orderHistory[customer]),ROW(orderHistory[customer])),""),ROWS($A$15:A48)+$B$3))),IF($D$13="",INDEX(orderHistory[invoice_date],SMALL(IF(ISNUMBER(MATCH(orderHistory[customer],$D$9,0)*MATCH(orderHistory[status],$D$11,0)),MATCH(ROW(orderHistory[customer]),ROW(orderHistory[customer])),""),ROWS($A$15:A48)+$B$3)),INDEX(orderHistory[invoice_date],SMALL(IF(ISNUMBER(MATCH(orderHistory[customer],$D$9,0)*MATCH(orderHistory[status],$D$11,0)*MATCH(orderHistory[order_type],$D$13,0)),MATCH(ROW(orderHistory[customer]),ROW(orderHistory[customer])),""),ROWS($A$15:A48)+$B$3))))),""))</f>
        <v/>
      </c>
      <c r="R43" s="377" t="str">
        <f t="array" ref="R43">IFERROR(IF($D$9="",IF($D$11="",IF($D$13="",INDEX(orderHistory[inv_amount],SMALL(MATCH(ROW(orderHistory[customer]),ROW(orderHistory[customer])),ROWS($A$15:A48)+$B$3)),INDEX(orderHistory[inv_amount],SMALL(IF(ISNUMBER(MATCH(orderHistory[order_type],$D$13,0)),MATCH(ROW(orderHistory[customer]),ROW(orderHistory[customer])),""),ROWS($A$15:A48)+$B$3))),IF($D$13="",INDEX(orderHistory[inv_amount],SMALL(IF(ISNUMBER(MATCH(orderHistory[status],$D$11,0)),MATCH(ROW(orderHistory[customer]),ROW(orderHistory[customer])),""),ROWS($A$15:A48)+$B$3)),INDEX(orderHistory[inv_amount],SMALL(IF(ISNUMBER(MATCH(orderHistory[status],$D$11,0)*MATCH(orderHistory[order_type],$D$13,0)),MATCH(ROW(orderHistory[customer]),ROW(orderHistory[customer])),""),ROWS($A$15:A48)+$B$3)))),IF($D$11="",IF($D$13="",INDEX(orderHistory[inv_amount],SMALL(IF(ISNUMBER(MATCH(orderHistory[customer],$D$9,0)),MATCH(ROW(orderHistory[customer]),ROW(orderHistory[customer])),""),ROWS($A$15:A48)+$B$3)),INDEX(orderHistory[inv_amount],SMALL(IF(ISNUMBER(MATCH(orderHistory[customer],$D$9,0)*MATCH(orderHistory[order_type],$D$13,0)),MATCH(ROW(orderHistory[customer]),ROW(orderHistory[customer])),""),ROWS($A$15:A48)+$B$3))),IF($D$13="",INDEX(orderHistory[inv_amount],SMALL(IF(ISNUMBER(MATCH(orderHistory[customer],$D$9,0)*MATCH(orderHistory[status],$D$11,0)),MATCH(ROW(orderHistory[customer]),ROW(orderHistory[customer])),""),ROWS($A$15:A48)+$B$3)),INDEX(orderHistory[inv_amount],SMALL(IF(ISNUMBER(MATCH(orderHistory[customer],$D$9,0)*MATCH(orderHistory[status],$D$11,0)*MATCH(orderHistory[order_type],$D$13,0)),MATCH(ROW(orderHistory[customer]),ROW(orderHistory[customer])),""),ROWS($A$15:A48)+$B$3))))),"")</f>
        <v/>
      </c>
      <c r="S43" s="383" t="str">
        <f t="shared" si="1"/>
        <v/>
      </c>
      <c r="T43" s="385" t="str">
        <f t="array" ref="T43">IFERROR(IF($D$9="",IF($D$11="",IF($D$13="",INDEX(orderHistory[payed],SMALL(MATCH(ROW(orderHistory[customer]),ROW(orderHistory[customer])),ROWS($A$15:A48)+$B$3)),INDEX(orderHistory[payed],SMALL(IF(ISNUMBER(MATCH(orderHistory[order_type],$D$13,0)),MATCH(ROW(orderHistory[customer]),ROW(orderHistory[customer])),""),ROWS($A$15:A48)+$B$3))),IF($D$13="",INDEX(orderHistory[payed],SMALL(IF(ISNUMBER(MATCH(orderHistory[status],$D$11,0)),MATCH(ROW(orderHistory[customer]),ROW(orderHistory[customer])),""),ROWS($A$15:A48)+$B$3)),INDEX(orderHistory[payed],SMALL(IF(ISNUMBER(MATCH(orderHistory[status],$D$11,0)*MATCH(orderHistory[order_type],$D$13,0)),MATCH(ROW(orderHistory[customer]),ROW(orderHistory[customer])),""),ROWS($A$15:A48)+$B$3)))),IF($D$11="",IF($D$13="",INDEX(orderHistory[payed],SMALL(IF(ISNUMBER(MATCH(orderHistory[customer],$D$9,0)),MATCH(ROW(orderHistory[customer]),ROW(orderHistory[customer])),""),ROWS($A$15:A48)+$B$3)),INDEX(orderHistory[payed],SMALL(IF(ISNUMBER(MATCH(orderHistory[customer],$D$9,0)*MATCH(orderHistory[order_type],$D$13,0)),MATCH(ROW(orderHistory[customer]),ROW(orderHistory[customer])),""),ROWS($A$15:A48)+$B$3))),IF($D$13="",INDEX(orderHistory[payed],SMALL(IF(ISNUMBER(MATCH(orderHistory[customer],$D$9,0)*MATCH(orderHistory[status],$D$11,0)),MATCH(ROW(orderHistory[customer]),ROW(orderHistory[customer])),""),ROWS($A$15:A48)+$B$3)),INDEX(orderHistory[payed],SMALL(IF(ISNUMBER(MATCH(orderHistory[customer],$D$9,0)*MATCH(orderHistory[status],$D$11,0)*MATCH(orderHistory[order_type],$D$13,0)),MATCH(ROW(orderHistory[customer]),ROW(orderHistory[customer])),""),ROWS($A$15:A48)+$B$3))))),"")</f>
        <v/>
      </c>
      <c r="U43" s="386" t="str">
        <f t="array" ref="U43">IFERROR(IF($D$9="",IF($D$11="",IF($D$13="",INDEX(orderHistory[shipping_method],SMALL(MATCH(ROW(orderHistory[customer]),ROW(orderHistory[customer])),ROWS($A$15:A48)+$B$3)),INDEX(orderHistory[shipping_method],SMALL(IF(ISNUMBER(MATCH(orderHistory[order_type],$D$13,0)),MATCH(ROW(orderHistory[customer]),ROW(orderHistory[customer])),""),ROWS($A$15:A48)+$B$3))),IF($D$13="",INDEX(orderHistory[shipping_method],SMALL(IF(ISNUMBER(MATCH(orderHistory[status],$D$11,0)),MATCH(ROW(orderHistory[customer]),ROW(orderHistory[customer])),""),ROWS($A$15:A48)+$B$3)),INDEX(orderHistory[shipping_method],SMALL(IF(ISNUMBER(MATCH(orderHistory[status],$D$11,0)*MATCH(orderHistory[order_type],$D$13,0)),MATCH(ROW(orderHistory[customer]),ROW(orderHistory[customer])),""),ROWS($A$15:A48)+$B$3)))),IF($D$11="",IF($D$13="",INDEX(orderHistory[shipping_method],SMALL(IF(ISNUMBER(MATCH(orderHistory[customer],$D$9,0)),MATCH(ROW(orderHistory[customer]),ROW(orderHistory[customer])),""),ROWS($A$15:A48)+$B$3)),INDEX(orderHistory[shipping_method],SMALL(IF(ISNUMBER(MATCH(orderHistory[customer],$D$9,0)*MATCH(orderHistory[order_type],$D$13,0)),MATCH(ROW(orderHistory[customer]),ROW(orderHistory[customer])),""),ROWS($A$15:A48)+$B$3))),IF($D$13="",INDEX(orderHistory[shipping_method],SMALL(IF(ISNUMBER(MATCH(orderHistory[customer],$D$9,0)*MATCH(orderHistory[status],$D$11,0)),MATCH(ROW(orderHistory[customer]),ROW(orderHistory[customer])),""),ROWS($A$15:A48)+$B$3)),INDEX(orderHistory[shipping_method],SMALL(IF(ISNUMBER(MATCH(orderHistory[customer],$D$9,0)*MATCH(orderHistory[status],$D$11,0)*MATCH(orderHistory[order_type],$D$13,0)),MATCH(ROW(orderHistory[customer]),ROW(orderHistory[customer])),""),ROWS($A$15:A48)+$B$3))))),"")</f>
        <v/>
      </c>
      <c r="V43" s="387" t="str">
        <f t="array" ref="V43">IFERROR(IF($D$9="",IF($D$11="",IF($D$13="",INDEX(orderHistory[status],SMALL(MATCH(ROW(orderHistory[customer]),ROW(orderHistory[customer])),ROWS($A$15:A48)+$B$3)),INDEX(orderHistory[status],SMALL(IF(ISNUMBER(MATCH(orderHistory[order_type],$D$13,0)),MATCH(ROW(orderHistory[customer]),ROW(orderHistory[customer])),""),ROWS($A$15:A48)+$B$3))),IF($D$13="",INDEX(orderHistory[status],SMALL(IF(ISNUMBER(MATCH(orderHistory[status],$D$11,0)),MATCH(ROW(orderHistory[customer]),ROW(orderHistory[customer])),""),ROWS($A$15:A48)+$B$3)),INDEX(orderHistory[status],SMALL(IF(ISNUMBER(MATCH(orderHistory[status],$D$11,0)*MATCH(orderHistory[order_type],$D$13,0)),MATCH(ROW(orderHistory[customer]),ROW(orderHistory[customer])),""),ROWS($A$15:A48)+$B$3)))),IF($D$11="",IF($D$13="",INDEX(orderHistory[status],SMALL(IF(ISNUMBER(MATCH(orderHistory[customer],$D$9,0)),MATCH(ROW(orderHistory[customer]),ROW(orderHistory[customer])),""),ROWS($A$15:A48)+$B$3)),INDEX(orderHistory[status],SMALL(IF(ISNUMBER(MATCH(orderHistory[customer],$D$9,0)*MATCH(orderHistory[order_type],$D$13,0)),MATCH(ROW(orderHistory[customer]),ROW(orderHistory[customer])),""),ROWS($A$15:A48)+$B$3))),IF($D$13="",INDEX(orderHistory[status],SMALL(IF(ISNUMBER(MATCH(orderHistory[customer],$D$9,0)*MATCH(orderHistory[status],$D$11,0)),MATCH(ROW(orderHistory[customer]),ROW(orderHistory[customer])),""),ROWS($A$15:A48)+$B$3)),INDEX(orderHistory[status],SMALL(IF(ISNUMBER(MATCH(orderHistory[customer],$D$9,0)*MATCH(orderHistory[status],$D$11,0)*MATCH(orderHistory[order_type],$D$13,0)),MATCH(ROW(orderHistory[customer]),ROW(orderHistory[customer])),""),ROWS($A$15:A48)+$B$3))))),"")</f>
        <v/>
      </c>
      <c r="BK43" s="146"/>
      <c r="BL43" s="147"/>
      <c r="BM43" s="148"/>
      <c r="BN43" s="147"/>
      <c r="BO43" s="148"/>
      <c r="BZ43" s="295"/>
      <c r="CA43" s="270" t="str">
        <f>IF(BZ43="","",VLOOKUP(BZ43,bhpc_data[],7,FALSE))</f>
        <v/>
      </c>
      <c r="CB43" s="296"/>
      <c r="CC43" s="642"/>
      <c r="CD43" s="297"/>
      <c r="CE43" s="645"/>
      <c r="CF43" s="298"/>
      <c r="CG43" s="301" t="str">
        <f>IFERROR(ROUNDUP(CB43/VLOOKUP(BZ43,bhpc_data[],9,FALSE),0)+ROUNDUP(CD43/VLOOKUP(BZ43,bhpc_data[],9,FALSE),0),"")</f>
        <v/>
      </c>
      <c r="CH43" s="302" t="str">
        <f>IFERROR(ROUNDUP(CD43/VLOOKUP(BZ43,bhpc_data[],9,FALSE),0),"")</f>
        <v/>
      </c>
      <c r="CI43" s="302" t="str">
        <f>IFERROR(ROUNDUP(CF43/VLOOKUP(BZ43,bhpc_data[],9,FALSE),0),"")</f>
        <v/>
      </c>
      <c r="CJ43" s="302" t="str">
        <f>IFERROR(((CB43+CD43+CF43)/VLOOKUP(BZ43,bhpc_data[],9,FALSE))*VLOOKUP(BZ43,bhpc_data[],17,FALSE),"")</f>
        <v/>
      </c>
      <c r="CK43" s="302" t="str">
        <f>IFERROR(((CB43+CD43+CF43)/VLOOKUP(BZ43,bhpc_data[],9,FALSE))*VLOOKUP(BZ43,bhpc_data[],18,FALSE),"")</f>
        <v/>
      </c>
      <c r="CL43" s="346" t="str">
        <f>IFERROR((CB43+CD43)/VLOOKUP(BZ43,bhpc_data[],9,FALSE)*VLOOKUP(BZ43,bhpc_data[],14,FALSE)*VLOOKUP(BZ43,bhpc_data[],15,FALSE)*VLOOKUP(BZ43,bhpc_data[],16,FALSE)/1000000000,"")</f>
        <v/>
      </c>
      <c r="CM43" s="409" t="str">
        <f>IFERROR(VLOOKUP(BZ43,bhpc_data[],2,FALSE),"")</f>
        <v/>
      </c>
      <c r="CN43" s="409" t="str">
        <f>IFERROR(VLOOKUP(BZ43,bhpc_data[],19,FALSE),"")</f>
        <v/>
      </c>
      <c r="CO43" s="653" t="str">
        <f>IFERROR(VLOOKUP(BZ43,bhpc_data[],6,FALSE),"")</f>
        <v/>
      </c>
      <c r="CP43" s="654" t="str">
        <f>IFERROR(VLOOKUP(BZ43,inventory[],4,FALSE),"")</f>
        <v/>
      </c>
      <c r="CQ43" s="651" t="str">
        <f>IFERROR(IF(BZ43="","",IF($BX$15="SALE",VLOOKUP(BZ43,inventory[],5,FALSE),IF($BX$15="SAMPLING",VLOOKUP(BZ43,inventory[],5,FALSE),""))),"")</f>
        <v/>
      </c>
      <c r="CR43" s="652" t="str">
        <f>IFERROR(IF(BZ43="","",(CB43+CD43+CF43)*CQ43),"")</f>
        <v/>
      </c>
      <c r="CS43" s="557" t="str">
        <f>IF(BZ43="","",CB43*CC43+CD43*CE43)</f>
        <v/>
      </c>
      <c r="CU43" s="607"/>
      <c r="CV43" s="411">
        <f>ROUNDUP(SUMIFS(bhpc_data[pallet_euro],bhpc_data[category],"MASTIGE"),0)</f>
        <v>0</v>
      </c>
      <c r="CW43" s="411">
        <f>ROUNDUP(SUMIFS(bhpc_data[pallet_euro],bhpc_data[category],"PRESTIGE"),0)</f>
        <v>1</v>
      </c>
      <c r="CX43" s="411">
        <f>ROUNDUP(SUMIFS(bhpc_data[pallet_euro],bhpc_data[category],"DEODORANT"),0)</f>
        <v>0</v>
      </c>
      <c r="CY43" s="411">
        <f>ROUNDUP(SUMIFS(bhpc_data[pallet_euro],bhpc_data[category],"GIFTSET"),0)</f>
        <v>0</v>
      </c>
      <c r="CZ43" s="608"/>
      <c r="DA43" s="540" t="str">
        <f>IFERROR(VLOOKUP(BZ43,bhpc_data[],22,FALSE),"")</f>
        <v/>
      </c>
      <c r="EE43" s="454" t="s">
        <v>111</v>
      </c>
      <c r="EF43" s="447" t="str">
        <f>VLOOKUP(EE43,bhpc_data[],7,FALSE)</f>
        <v>BHPC SPORT MEN 1 EDT 100ML</v>
      </c>
      <c r="EG43" s="555">
        <f>IFERROR(VLOOKUP(EE43,inventory[],4,FALSE),0)</f>
        <v>13057</v>
      </c>
      <c r="EH43" s="555">
        <f>IFERROR(VLOOKUP(warehouse[[#This Row],[SKU]],$EQ$10:$ES$38,3,FALSE),0)</f>
        <v>0</v>
      </c>
      <c r="EI43" s="555">
        <f>IFERROR(VLOOKUP(warehouse[[#This Row],[SKU]],$EM$10:$EO$61,3,FALSE),0)</f>
        <v>5158</v>
      </c>
      <c r="EJ43" s="555">
        <f>warehouse[[#This Row],[T-1]]+warehouse[[#This Row],[SUPPLY]]-warehouse[[#This Row],[SALE + SAMPLING]]</f>
        <v>7899</v>
      </c>
      <c r="EK43" s="449"/>
      <c r="EM43" s="74" t="s">
        <v>130</v>
      </c>
      <c r="EN43" s="74" t="s">
        <v>131</v>
      </c>
      <c r="EO43" s="431">
        <v>1388</v>
      </c>
    </row>
    <row r="44" spans="6:149" ht="15" customHeight="1">
      <c r="L44" s="274" t="str">
        <f t="array" ref="L44">IFERROR(IF($D$9="",IF($D$11="",IF($D$13="",INDEX(orderHistory[customer],SMALL(MATCH(ROW(orderHistory[customer]),ROW(orderHistory[customer])),ROWS($A$15:A49)+$B$3)),INDEX(orderHistory[customer],SMALL(IF(ISNUMBER(MATCH(orderHistory[order_type],$D$13,0)),MATCH(ROW(orderHistory[customer]),ROW(orderHistory[customer])),""),ROWS($A$15:A49)+$B$3))),IF($D$13="",INDEX(orderHistory[customer],SMALL(IF(ISNUMBER(MATCH(orderHistory[status],$D$11,0)),MATCH(ROW(orderHistory[customer]),ROW(orderHistory[customer])),""),ROWS($A$15:A49)+$B$3)),INDEX(orderHistory[customer],SMALL(IF(ISNUMBER(MATCH(orderHistory[status],$D$11,0)*MATCH(orderHistory[order_type],$D$13,0)),MATCH(ROW(orderHistory[customer]),ROW(orderHistory[customer])),""),ROWS($A$15:A49)+$B$3)))),IF($D$11="",IF($D$13="",INDEX(orderHistory[customer],SMALL(IF(ISNUMBER(MATCH(orderHistory[customer],$D$9,0)),MATCH(ROW(orderHistory[customer]),ROW(orderHistory[customer])),""),ROWS($A$15:A49)+$B$3)),INDEX(orderHistory[customer],SMALL(IF(ISNUMBER(MATCH(orderHistory[customer],$D$9,0)*MATCH(orderHistory[order_type],$D$13,0)),MATCH(ROW(orderHistory[customer]),ROW(orderHistory[customer])),""),ROWS($A$15:A49)+$B$3))),IF($D$13="",INDEX(orderHistory[customer],SMALL(IF(ISNUMBER(MATCH(orderHistory[customer],$D$9,0)*MATCH(orderHistory[status],$D$11,0)),MATCH(ROW(orderHistory[customer]),ROW(orderHistory[customer])),""),ROWS($A$15:A49)+$B$3)),INDEX(orderHistory[customer],SMALL(IF(ISNUMBER(MATCH(orderHistory[customer],$D$9,0)*MATCH(orderHistory[status],$D$11,0)*MATCH(orderHistory[order_type],$D$13,0)),MATCH(ROW(orderHistory[customer]),ROW(orderHistory[customer])),""),ROWS($A$15:A49)+$B$3))))),"")</f>
        <v/>
      </c>
      <c r="M44" s="391" t="str">
        <f t="array" ref="M44">IFERROR(IF($D$9="",IF($D$11="",IF($D$13="",INDEX(orderHistory[order_no],SMALL(MATCH(ROW(orderHistory[customer]),ROW(orderHistory[customer])),ROWS($A$15:A49)+$B$3)),INDEX(orderHistory[order_no],SMALL(IF(ISNUMBER(MATCH(orderHistory[order_type],$D$13,0)),MATCH(ROW(orderHistory[customer]),ROW(orderHistory[customer])),""),ROWS($A$15:A49)+$B$3))),IF($D$13="",INDEX(orderHistory[order_no],SMALL(IF(ISNUMBER(MATCH(orderHistory[status],$D$11,0)),MATCH(ROW(orderHistory[customer]),ROW(orderHistory[customer])),""),ROWS($A$15:A49)+$B$3)),INDEX(orderHistory[order_no],SMALL(IF(ISNUMBER(MATCH(orderHistory[status],$D$11,0)*MATCH(orderHistory[order_type],$D$13,0)),MATCH(ROW(orderHistory[customer]),ROW(orderHistory[customer])),""),ROWS($A$15:A49)+$B$3)))),IF($D$11="",IF($D$13="",INDEX(orderHistory[order_no],SMALL(IF(ISNUMBER(MATCH(orderHistory[customer],$D$9,0)),MATCH(ROW(orderHistory[customer]),ROW(orderHistory[customer])),""),ROWS($A$15:A49)+$B$3)),INDEX(orderHistory[order_no],SMALL(IF(ISNUMBER(MATCH(orderHistory[customer],$D$9,0)*MATCH(orderHistory[order_type],$D$13,0)),MATCH(ROW(orderHistory[customer]),ROW(orderHistory[customer])),""),ROWS($A$15:A49)+$B$3))),IF($D$13="",INDEX(orderHistory[order_no],SMALL(IF(ISNUMBER(MATCH(orderHistory[customer],$D$9,0)*MATCH(orderHistory[status],$D$11,0)),MATCH(ROW(orderHistory[customer]),ROW(orderHistory[customer])),""),ROWS($A$15:A49)+$B$3)),INDEX(orderHistory[order_no],SMALL(IF(ISNUMBER(MATCH(orderHistory[customer],$D$9,0)*MATCH(orderHistory[status],$D$11,0)*MATCH(orderHistory[order_type],$D$13,0)),MATCH(ROW(orderHistory[customer]),ROW(orderHistory[customer])),""),ROWS($A$15:A49)+$B$3))))),"")</f>
        <v/>
      </c>
      <c r="N44" s="386" t="str">
        <f t="array" ref="N44">IFERROR(IF($D$9="",IF($D$11="",IF($D$13="",INDEX(orderHistory[order_type],SMALL(MATCH(ROW(orderHistory[customer]),ROW(orderHistory[customer])),ROWS($A$15:A49)+$B$3)),INDEX(orderHistory[order_type],SMALL(IF(ISNUMBER(MATCH(orderHistory[order_type],$D$13,0)),MATCH(ROW(orderHistory[customer]),ROW(orderHistory[customer])),""),ROWS($A$15:A49)+$B$3))),IF($D$13="",INDEX(orderHistory[order_type],SMALL(IF(ISNUMBER(MATCH(orderHistory[status],$D$11,0)),MATCH(ROW(orderHistory[customer]),ROW(orderHistory[customer])),""),ROWS($A$15:A49)+$B$3)),INDEX(orderHistory[order_type],SMALL(IF(ISNUMBER(MATCH(orderHistory[status],$D$11,0)*MATCH(orderHistory[order_type],$D$13,0)),MATCH(ROW(orderHistory[customer]),ROW(orderHistory[customer])),""),ROWS($A$15:A49)+$B$3)))),IF($D$11="",IF($D$13="",INDEX(orderHistory[order_type],SMALL(IF(ISNUMBER(MATCH(orderHistory[customer],$D$9,0)),MATCH(ROW(orderHistory[customer]),ROW(orderHistory[customer])),""),ROWS($A$15:A49)+$B$3)),INDEX(orderHistory[order_type],SMALL(IF(ISNUMBER(MATCH(orderHistory[customer],$D$9,0)*MATCH(orderHistory[order_type],$D$13,0)),MATCH(ROW(orderHistory[customer]),ROW(orderHistory[customer])),""),ROWS($A$15:A49)+$B$3))),IF($D$13="",INDEX(orderHistory[order_type],SMALL(IF(ISNUMBER(MATCH(orderHistory[customer],$D$9,0)*MATCH(orderHistory[status],$D$11,0)),MATCH(ROW(orderHistory[customer]),ROW(orderHistory[customer])),""),ROWS($A$15:A49)+$B$3)),INDEX(orderHistory[order_type],SMALL(IF(ISNUMBER(MATCH(orderHistory[customer],$D$9,0)*MATCH(orderHistory[status],$D$11,0)*MATCH(orderHistory[order_type],$D$13,0)),MATCH(ROW(orderHistory[customer]),ROW(orderHistory[customer])),""),ROWS($A$15:A49)+$B$3))))),"")</f>
        <v/>
      </c>
      <c r="O44" s="275" t="str">
        <f t="array" ref="O44">IFERROR(IF($D$9="",IF($D$11="",IF($D$13="",INDEX(orderHistory[order_date],SMALL(MATCH(ROW(orderHistory[customer]),ROW(orderHistory[customer])),ROWS($A$15:A49)+$B$3)),INDEX(orderHistory[order_date],SMALL(IF(ISNUMBER(MATCH(orderHistory[order_type],$D$13,0)),MATCH(ROW(orderHistory[customer]),ROW(orderHistory[customer])),""),ROWS($A$15:A49)+$B$3))),IF($D$13="",INDEX(orderHistory[order_date],SMALL(IF(ISNUMBER(MATCH(orderHistory[status],$D$11,0)),MATCH(ROW(orderHistory[customer]),ROW(orderHistory[customer])),""),ROWS($A$15:A49)+$B$3)),INDEX(orderHistory[order_date],SMALL(IF(ISNUMBER(MATCH(orderHistory[status],$D$11,0)*MATCH(orderHistory[order_type],$D$13,0)),MATCH(ROW(orderHistory[customer]),ROW(orderHistory[customer])),""),ROWS($A$15:A49)+$B$3)))),IF($D$11="",IF($D$13="",INDEX(orderHistory[order_date],SMALL(IF(ISNUMBER(MATCH(orderHistory[customer],$D$9,0)),MATCH(ROW(orderHistory[customer]),ROW(orderHistory[customer])),""),ROWS($A$15:A49)+$B$3)),INDEX(orderHistory[order_date],SMALL(IF(ISNUMBER(MATCH(orderHistory[customer],$D$9,0)*MATCH(orderHistory[order_type],$D$13,0)),MATCH(ROW(orderHistory[customer]),ROW(orderHistory[customer])),""),ROWS($A$15:A49)+$B$3))),IF($D$13="",INDEX(orderHistory[order_date],SMALL(IF(ISNUMBER(MATCH(orderHistory[customer],$D$9,0)*MATCH(orderHistory[status],$D$11,0)),MATCH(ROW(orderHistory[customer]),ROW(orderHistory[customer])),""),ROWS($A$15:A49)+$B$3)),INDEX(orderHistory[order_date],SMALL(IF(ISNUMBER(MATCH(orderHistory[customer],$D$9,0)*MATCH(orderHistory[status],$D$11,0)*MATCH(orderHistory[order_type],$D$13,0)),MATCH(ROW(orderHistory[customer]),ROW(orderHistory[customer])),""),ROWS($A$15:A49)+$B$3))))),"")</f>
        <v/>
      </c>
      <c r="P44" s="379" t="str">
        <f t="array" ref="P44">IF(IFERROR(IF($D$9="",IF($D$11="",IF($D$13="",INDEX(orderHistory[invoice_no],SMALL(MATCH(ROW(orderHistory[customer]),ROW(orderHistory[customer])),ROWS($A$15:A49)+$B$3)),INDEX(orderHistory[invoice_no],SMALL(IF(ISNUMBER(MATCH(orderHistory[order_type],$D$13,0)),MATCH(ROW(orderHistory[customer]),ROW(orderHistory[customer])),""),ROWS($A$15:A49)+$B$3))),IF($D$13="",INDEX(orderHistory[invoice_no],SMALL(IF(ISNUMBER(MATCH(orderHistory[status],$D$11,0)),MATCH(ROW(orderHistory[customer]),ROW(orderHistory[customer])),""),ROWS($A$15:A49)+$B$3)),INDEX(orderHistory[invoice_no],SMALL(IF(ISNUMBER(MATCH(orderHistory[status],$D$11,0)*MATCH(orderHistory[order_type],$D$13,0)),MATCH(ROW(orderHistory[customer]),ROW(orderHistory[customer])),""),ROWS($A$15:A49)+$B$3)))),IF($D$11="",IF($D$13="",INDEX(orderHistory[invoice_no],SMALL(IF(ISNUMBER(MATCH(orderHistory[customer],$D$9,0)),MATCH(ROW(orderHistory[customer]),ROW(orderHistory[customer])),""),ROWS($A$15:A49)+$B$3)),INDEX(orderHistory[invoice_no],SMALL(IF(ISNUMBER(MATCH(orderHistory[customer],$D$9,0)*MATCH(orderHistory[order_type],$D$13,0)),MATCH(ROW(orderHistory[customer]),ROW(orderHistory[customer])),""),ROWS($A$15:A49)+$B$3))),IF($D$13="",INDEX(orderHistory[invoice_no],SMALL(IF(ISNUMBER(MATCH(orderHistory[customer],$D$9,0)*MATCH(orderHistory[status],$D$11,0)),MATCH(ROW(orderHistory[customer]),ROW(orderHistory[customer])),""),ROWS($A$15:A49)+$B$3)),INDEX(orderHistory[invoice_no],SMALL(IF(ISNUMBER(MATCH(orderHistory[customer],$D$9,0)*MATCH(orderHistory[status],$D$11,0)*MATCH(orderHistory[order_type],$D$13,0)),MATCH(ROW(orderHistory[customer]),ROW(orderHistory[customer])),""),ROWS($A$15:A49)+$B$3))))),"")=0,"",IFERROR(IF($D$9="",IF($D$11="",IF($D$13="",INDEX(orderHistory[invoice_no],SMALL(MATCH(ROW(orderHistory[customer]),ROW(orderHistory[customer])),ROWS($A$15:A49)+$B$3)),INDEX(orderHistory[invoice_no],SMALL(IF(ISNUMBER(MATCH(orderHistory[order_type],$D$13,0)),MATCH(ROW(orderHistory[customer]),ROW(orderHistory[customer])),""),ROWS($A$15:A49)+$B$3))),IF($D$13="",INDEX(orderHistory[invoice_no],SMALL(IF(ISNUMBER(MATCH(orderHistory[status],$D$11,0)),MATCH(ROW(orderHistory[customer]),ROW(orderHistory[customer])),""),ROWS($A$15:A49)+$B$3)),INDEX(orderHistory[invoice_no],SMALL(IF(ISNUMBER(MATCH(orderHistory[status],$D$11,0)*MATCH(orderHistory[order_type],$D$13,0)),MATCH(ROW(orderHistory[customer]),ROW(orderHistory[customer])),""),ROWS($A$15:A49)+$B$3)))),IF($D$11="",IF($D$13="",INDEX(orderHistory[invoice_no],SMALL(IF(ISNUMBER(MATCH(orderHistory[customer],$D$9,0)),MATCH(ROW(orderHistory[customer]),ROW(orderHistory[customer])),""),ROWS($A$15:A49)+$B$3)),INDEX(orderHistory[invoice_no],SMALL(IF(ISNUMBER(MATCH(orderHistory[customer],$D$9,0)*MATCH(orderHistory[order_type],$D$13,0)),MATCH(ROW(orderHistory[customer]),ROW(orderHistory[customer])),""),ROWS($A$15:A49)+$B$3))),IF($D$13="",INDEX(orderHistory[invoice_no],SMALL(IF(ISNUMBER(MATCH(orderHistory[customer],$D$9,0)*MATCH(orderHistory[status],$D$11,0)),MATCH(ROW(orderHistory[customer]),ROW(orderHistory[customer])),""),ROWS($A$15:A49)+$B$3)),INDEX(orderHistory[invoice_no],SMALL(IF(ISNUMBER(MATCH(orderHistory[customer],$D$9,0)*MATCH(orderHistory[status],$D$11,0)*MATCH(orderHistory[order_type],$D$13,0)),MATCH(ROW(orderHistory[customer]),ROW(orderHistory[customer])),""),ROWS($A$15:A49)+$B$3))))),""))</f>
        <v/>
      </c>
      <c r="Q44" s="381" t="str">
        <f t="array" ref="Q44">IF(IFERROR(IF($D$9="",IF($D$11="",IF($D$13="",INDEX(orderHistory[invoice_date],SMALL(MATCH(ROW(orderHistory[customer]),ROW(orderHistory[customer])),ROWS($A$15:A49)+$B$3)),INDEX(orderHistory[invoice_date],SMALL(IF(ISNUMBER(MATCH(orderHistory[order_type],$D$13,0)),MATCH(ROW(orderHistory[customer]),ROW(orderHistory[customer])),""),ROWS($A$15:A49)+$B$3))),IF($D$13="",INDEX(orderHistory[invoice_date],SMALL(IF(ISNUMBER(MATCH(orderHistory[status],$D$11,0)),MATCH(ROW(orderHistory[customer]),ROW(orderHistory[customer])),""),ROWS($A$15:A49)+$B$3)),INDEX(orderHistory[invoice_date],SMALL(IF(ISNUMBER(MATCH(orderHistory[status],$D$11,0)*MATCH(orderHistory[order_type],$D$13,0)),MATCH(ROW(orderHistory[customer]),ROW(orderHistory[customer])),""),ROWS($A$15:A49)+$B$3)))),IF($D$11="",IF($D$13="",INDEX(orderHistory[invoice_date],SMALL(IF(ISNUMBER(MATCH(orderHistory[customer],$D$9,0)),MATCH(ROW(orderHistory[customer]),ROW(orderHistory[customer])),""),ROWS($A$15:A49)+$B$3)),INDEX(orderHistory[invoice_date],SMALL(IF(ISNUMBER(MATCH(orderHistory[customer],$D$9,0)*MATCH(orderHistory[order_type],$D$13,0)),MATCH(ROW(orderHistory[customer]),ROW(orderHistory[customer])),""),ROWS($A$15:A49)+$B$3))),IF($D$13="",INDEX(orderHistory[invoice_date],SMALL(IF(ISNUMBER(MATCH(orderHistory[customer],$D$9,0)*MATCH(orderHistory[status],$D$11,0)),MATCH(ROW(orderHistory[customer]),ROW(orderHistory[customer])),""),ROWS($A$15:A49)+$B$3)),INDEX(orderHistory[invoice_date],SMALL(IF(ISNUMBER(MATCH(orderHistory[customer],$D$9,0)*MATCH(orderHistory[status],$D$11,0)*MATCH(orderHistory[order_type],$D$13,0)),MATCH(ROW(orderHistory[customer]),ROW(orderHistory[customer])),""),ROWS($A$15:A49)+$B$3))))),"")=0,"",IFERROR(IF($D$9="",IF($D$11="",IF($D$13="",INDEX(orderHistory[invoice_date],SMALL(MATCH(ROW(orderHistory[customer]),ROW(orderHistory[customer])),ROWS($A$15:A49)+$B$3)),INDEX(orderHistory[invoice_date],SMALL(IF(ISNUMBER(MATCH(orderHistory[order_type],$D$13,0)),MATCH(ROW(orderHistory[customer]),ROW(orderHistory[customer])),""),ROWS($A$15:A49)+$B$3))),IF($D$13="",INDEX(orderHistory[invoice_date],SMALL(IF(ISNUMBER(MATCH(orderHistory[status],$D$11,0)),MATCH(ROW(orderHistory[customer]),ROW(orderHistory[customer])),""),ROWS($A$15:A49)+$B$3)),INDEX(orderHistory[invoice_date],SMALL(IF(ISNUMBER(MATCH(orderHistory[status],$D$11,0)*MATCH(orderHistory[order_type],$D$13,0)),MATCH(ROW(orderHistory[customer]),ROW(orderHistory[customer])),""),ROWS($A$15:A49)+$B$3)))),IF($D$11="",IF($D$13="",INDEX(orderHistory[invoice_date],SMALL(IF(ISNUMBER(MATCH(orderHistory[customer],$D$9,0)),MATCH(ROW(orderHistory[customer]),ROW(orderHistory[customer])),""),ROWS($A$15:A49)+$B$3)),INDEX(orderHistory[invoice_date],SMALL(IF(ISNUMBER(MATCH(orderHistory[customer],$D$9,0)*MATCH(orderHistory[order_type],$D$13,0)),MATCH(ROW(orderHistory[customer]),ROW(orderHistory[customer])),""),ROWS($A$15:A49)+$B$3))),IF($D$13="",INDEX(orderHistory[invoice_date],SMALL(IF(ISNUMBER(MATCH(orderHistory[customer],$D$9,0)*MATCH(orderHistory[status],$D$11,0)),MATCH(ROW(orderHistory[customer]),ROW(orderHistory[customer])),""),ROWS($A$15:A49)+$B$3)),INDEX(orderHistory[invoice_date],SMALL(IF(ISNUMBER(MATCH(orderHistory[customer],$D$9,0)*MATCH(orderHistory[status],$D$11,0)*MATCH(orderHistory[order_type],$D$13,0)),MATCH(ROW(orderHistory[customer]),ROW(orderHistory[customer])),""),ROWS($A$15:A49)+$B$3))))),""))</f>
        <v/>
      </c>
      <c r="R44" s="377" t="str">
        <f t="array" ref="R44">IFERROR(IF($D$9="",IF($D$11="",IF($D$13="",INDEX(orderHistory[inv_amount],SMALL(MATCH(ROW(orderHistory[customer]),ROW(orderHistory[customer])),ROWS($A$15:A49)+$B$3)),INDEX(orderHistory[inv_amount],SMALL(IF(ISNUMBER(MATCH(orderHistory[order_type],$D$13,0)),MATCH(ROW(orderHistory[customer]),ROW(orderHistory[customer])),""),ROWS($A$15:A49)+$B$3))),IF($D$13="",INDEX(orderHistory[inv_amount],SMALL(IF(ISNUMBER(MATCH(orderHistory[status],$D$11,0)),MATCH(ROW(orderHistory[customer]),ROW(orderHistory[customer])),""),ROWS($A$15:A49)+$B$3)),INDEX(orderHistory[inv_amount],SMALL(IF(ISNUMBER(MATCH(orderHistory[status],$D$11,0)*MATCH(orderHistory[order_type],$D$13,0)),MATCH(ROW(orderHistory[customer]),ROW(orderHistory[customer])),""),ROWS($A$15:A49)+$B$3)))),IF($D$11="",IF($D$13="",INDEX(orderHistory[inv_amount],SMALL(IF(ISNUMBER(MATCH(orderHistory[customer],$D$9,0)),MATCH(ROW(orderHistory[customer]),ROW(orderHistory[customer])),""),ROWS($A$15:A49)+$B$3)),INDEX(orderHistory[inv_amount],SMALL(IF(ISNUMBER(MATCH(orderHistory[customer],$D$9,0)*MATCH(orderHistory[order_type],$D$13,0)),MATCH(ROW(orderHistory[customer]),ROW(orderHistory[customer])),""),ROWS($A$15:A49)+$B$3))),IF($D$13="",INDEX(orderHistory[inv_amount],SMALL(IF(ISNUMBER(MATCH(orderHistory[customer],$D$9,0)*MATCH(orderHistory[status],$D$11,0)),MATCH(ROW(orderHistory[customer]),ROW(orderHistory[customer])),""),ROWS($A$15:A49)+$B$3)),INDEX(orderHistory[inv_amount],SMALL(IF(ISNUMBER(MATCH(orderHistory[customer],$D$9,0)*MATCH(orderHistory[status],$D$11,0)*MATCH(orderHistory[order_type],$D$13,0)),MATCH(ROW(orderHistory[customer]),ROW(orderHistory[customer])),""),ROWS($A$15:A49)+$B$3))))),"")</f>
        <v/>
      </c>
      <c r="S44" s="383" t="str">
        <f t="shared" si="1"/>
        <v/>
      </c>
      <c r="T44" s="385" t="str">
        <f t="array" ref="T44">IFERROR(IF($D$9="",IF($D$11="",IF($D$13="",INDEX(orderHistory[payed],SMALL(MATCH(ROW(orderHistory[customer]),ROW(orderHistory[customer])),ROWS($A$15:A49)+$B$3)),INDEX(orderHistory[payed],SMALL(IF(ISNUMBER(MATCH(orderHistory[order_type],$D$13,0)),MATCH(ROW(orderHistory[customer]),ROW(orderHistory[customer])),""),ROWS($A$15:A49)+$B$3))),IF($D$13="",INDEX(orderHistory[payed],SMALL(IF(ISNUMBER(MATCH(orderHistory[status],$D$11,0)),MATCH(ROW(orderHistory[customer]),ROW(orderHistory[customer])),""),ROWS($A$15:A49)+$B$3)),INDEX(orderHistory[payed],SMALL(IF(ISNUMBER(MATCH(orderHistory[status],$D$11,0)*MATCH(orderHistory[order_type],$D$13,0)),MATCH(ROW(orderHistory[customer]),ROW(orderHistory[customer])),""),ROWS($A$15:A49)+$B$3)))),IF($D$11="",IF($D$13="",INDEX(orderHistory[payed],SMALL(IF(ISNUMBER(MATCH(orderHistory[customer],$D$9,0)),MATCH(ROW(orderHistory[customer]),ROW(orderHistory[customer])),""),ROWS($A$15:A49)+$B$3)),INDEX(orderHistory[payed],SMALL(IF(ISNUMBER(MATCH(orderHistory[customer],$D$9,0)*MATCH(orderHistory[order_type],$D$13,0)),MATCH(ROW(orderHistory[customer]),ROW(orderHistory[customer])),""),ROWS($A$15:A49)+$B$3))),IF($D$13="",INDEX(orderHistory[payed],SMALL(IF(ISNUMBER(MATCH(orderHistory[customer],$D$9,0)*MATCH(orderHistory[status],$D$11,0)),MATCH(ROW(orderHistory[customer]),ROW(orderHistory[customer])),""),ROWS($A$15:A49)+$B$3)),INDEX(orderHistory[payed],SMALL(IF(ISNUMBER(MATCH(orderHistory[customer],$D$9,0)*MATCH(orderHistory[status],$D$11,0)*MATCH(orderHistory[order_type],$D$13,0)),MATCH(ROW(orderHistory[customer]),ROW(orderHistory[customer])),""),ROWS($A$15:A49)+$B$3))))),"")</f>
        <v/>
      </c>
      <c r="U44" s="386" t="str">
        <f t="array" ref="U44">IFERROR(IF($D$9="",IF($D$11="",IF($D$13="",INDEX(orderHistory[shipping_method],SMALL(MATCH(ROW(orderHistory[customer]),ROW(orderHistory[customer])),ROWS($A$15:A49)+$B$3)),INDEX(orderHistory[shipping_method],SMALL(IF(ISNUMBER(MATCH(orderHistory[order_type],$D$13,0)),MATCH(ROW(orderHistory[customer]),ROW(orderHistory[customer])),""),ROWS($A$15:A49)+$B$3))),IF($D$13="",INDEX(orderHistory[shipping_method],SMALL(IF(ISNUMBER(MATCH(orderHistory[status],$D$11,0)),MATCH(ROW(orderHistory[customer]),ROW(orderHistory[customer])),""),ROWS($A$15:A49)+$B$3)),INDEX(orderHistory[shipping_method],SMALL(IF(ISNUMBER(MATCH(orderHistory[status],$D$11,0)*MATCH(orderHistory[order_type],$D$13,0)),MATCH(ROW(orderHistory[customer]),ROW(orderHistory[customer])),""),ROWS($A$15:A49)+$B$3)))),IF($D$11="",IF($D$13="",INDEX(orderHistory[shipping_method],SMALL(IF(ISNUMBER(MATCH(orderHistory[customer],$D$9,0)),MATCH(ROW(orderHistory[customer]),ROW(orderHistory[customer])),""),ROWS($A$15:A49)+$B$3)),INDEX(orderHistory[shipping_method],SMALL(IF(ISNUMBER(MATCH(orderHistory[customer],$D$9,0)*MATCH(orderHistory[order_type],$D$13,0)),MATCH(ROW(orderHistory[customer]),ROW(orderHistory[customer])),""),ROWS($A$15:A49)+$B$3))),IF($D$13="",INDEX(orderHistory[shipping_method],SMALL(IF(ISNUMBER(MATCH(orderHistory[customer],$D$9,0)*MATCH(orderHistory[status],$D$11,0)),MATCH(ROW(orderHistory[customer]),ROW(orderHistory[customer])),""),ROWS($A$15:A49)+$B$3)),INDEX(orderHistory[shipping_method],SMALL(IF(ISNUMBER(MATCH(orderHistory[customer],$D$9,0)*MATCH(orderHistory[status],$D$11,0)*MATCH(orderHistory[order_type],$D$13,0)),MATCH(ROW(orderHistory[customer]),ROW(orderHistory[customer])),""),ROWS($A$15:A49)+$B$3))))),"")</f>
        <v/>
      </c>
      <c r="V44" s="387" t="str">
        <f t="array" ref="V44">IFERROR(IF($D$9="",IF($D$11="",IF($D$13="",INDEX(orderHistory[status],SMALL(MATCH(ROW(orderHistory[customer]),ROW(orderHistory[customer])),ROWS($A$15:A49)+$B$3)),INDEX(orderHistory[status],SMALL(IF(ISNUMBER(MATCH(orderHistory[order_type],$D$13,0)),MATCH(ROW(orderHistory[customer]),ROW(orderHistory[customer])),""),ROWS($A$15:A49)+$B$3))),IF($D$13="",INDEX(orderHistory[status],SMALL(IF(ISNUMBER(MATCH(orderHistory[status],$D$11,0)),MATCH(ROW(orderHistory[customer]),ROW(orderHistory[customer])),""),ROWS($A$15:A49)+$B$3)),INDEX(orderHistory[status],SMALL(IF(ISNUMBER(MATCH(orderHistory[status],$D$11,0)*MATCH(orderHistory[order_type],$D$13,0)),MATCH(ROW(orderHistory[customer]),ROW(orderHistory[customer])),""),ROWS($A$15:A49)+$B$3)))),IF($D$11="",IF($D$13="",INDEX(orderHistory[status],SMALL(IF(ISNUMBER(MATCH(orderHistory[customer],$D$9,0)),MATCH(ROW(orderHistory[customer]),ROW(orderHistory[customer])),""),ROWS($A$15:A49)+$B$3)),INDEX(orderHistory[status],SMALL(IF(ISNUMBER(MATCH(orderHistory[customer],$D$9,0)*MATCH(orderHistory[order_type],$D$13,0)),MATCH(ROW(orderHistory[customer]),ROW(orderHistory[customer])),""),ROWS($A$15:A49)+$B$3))),IF($D$13="",INDEX(orderHistory[status],SMALL(IF(ISNUMBER(MATCH(orderHistory[customer],$D$9,0)*MATCH(orderHistory[status],$D$11,0)),MATCH(ROW(orderHistory[customer]),ROW(orderHistory[customer])),""),ROWS($A$15:A49)+$B$3)),INDEX(orderHistory[status],SMALL(IF(ISNUMBER(MATCH(orderHistory[customer],$D$9,0)*MATCH(orderHistory[status],$D$11,0)*MATCH(orderHistory[order_type],$D$13,0)),MATCH(ROW(orderHistory[customer]),ROW(orderHistory[customer])),""),ROWS($A$15:A49)+$B$3))))),"")</f>
        <v/>
      </c>
      <c r="BK44" s="146"/>
      <c r="BL44" s="147"/>
      <c r="BM44" s="148"/>
      <c r="BN44" s="147"/>
      <c r="BO44" s="148"/>
      <c r="BZ44" s="295"/>
      <c r="CA44" s="270" t="str">
        <f>IF(BZ44="","",VLOOKUP(BZ44,bhpc_data[],7,FALSE))</f>
        <v/>
      </c>
      <c r="CB44" s="296"/>
      <c r="CC44" s="642"/>
      <c r="CD44" s="297"/>
      <c r="CE44" s="645"/>
      <c r="CF44" s="298"/>
      <c r="CG44" s="301" t="str">
        <f>IFERROR(ROUNDUP(CB44/VLOOKUP(BZ44,bhpc_data[],9,FALSE),0)+ROUNDUP(CD44/VLOOKUP(BZ44,bhpc_data[],9,FALSE),0),"")</f>
        <v/>
      </c>
      <c r="CH44" s="302" t="str">
        <f>IFERROR(ROUNDUP(CD44/VLOOKUP(BZ44,bhpc_data[],9,FALSE),0),"")</f>
        <v/>
      </c>
      <c r="CI44" s="302" t="str">
        <f>IFERROR(ROUNDUP(CF44/VLOOKUP(BZ44,bhpc_data[],9,FALSE),0),"")</f>
        <v/>
      </c>
      <c r="CJ44" s="302" t="str">
        <f>IFERROR(((CB44+CD44+CF44)/VLOOKUP(BZ44,bhpc_data[],9,FALSE))*VLOOKUP(BZ44,bhpc_data[],17,FALSE),"")</f>
        <v/>
      </c>
      <c r="CK44" s="302" t="str">
        <f>IFERROR(((CB44+CD44+CF44)/VLOOKUP(BZ44,bhpc_data[],9,FALSE))*VLOOKUP(BZ44,bhpc_data[],18,FALSE),"")</f>
        <v/>
      </c>
      <c r="CL44" s="346" t="str">
        <f>IFERROR((CB44+CD44)/VLOOKUP(BZ44,bhpc_data[],9,FALSE)*VLOOKUP(BZ44,bhpc_data[],14,FALSE)*VLOOKUP(BZ44,bhpc_data[],15,FALSE)*VLOOKUP(BZ44,bhpc_data[],16,FALSE)/1000000000,"")</f>
        <v/>
      </c>
      <c r="CM44" s="409" t="str">
        <f>IFERROR(VLOOKUP(BZ44,bhpc_data[],2,FALSE),"")</f>
        <v/>
      </c>
      <c r="CN44" s="409" t="str">
        <f>IFERROR(VLOOKUP(BZ44,bhpc_data[],19,FALSE),"")</f>
        <v/>
      </c>
      <c r="CO44" s="653" t="str">
        <f>IFERROR(VLOOKUP(BZ44,bhpc_data[],6,FALSE),"")</f>
        <v/>
      </c>
      <c r="CP44" s="654" t="str">
        <f>IFERROR(VLOOKUP(BZ44,inventory[],4,FALSE),"")</f>
        <v/>
      </c>
      <c r="CQ44" s="651" t="str">
        <f>IFERROR(IF(BZ44="","",IF($BX$15="SALE",VLOOKUP(BZ44,inventory[],5,FALSE),IF($BX$15="SAMPLING",VLOOKUP(BZ44,inventory[],5,FALSE),""))),"")</f>
        <v/>
      </c>
      <c r="CR44" s="652" t="str">
        <f>IFERROR(IF(BZ44="","",(CB44+CD44+CF44)*CQ44),"")</f>
        <v/>
      </c>
      <c r="CS44" s="557" t="str">
        <f>IF(BZ44="","",CB44*CC44+CD44*CE44)</f>
        <v/>
      </c>
      <c r="CU44" s="607"/>
      <c r="CV44" s="411" t="s">
        <v>189</v>
      </c>
      <c r="CW44" s="411" t="s">
        <v>145</v>
      </c>
      <c r="CX44" s="411"/>
      <c r="CY44" s="411"/>
      <c r="CZ44" s="608"/>
      <c r="DA44" s="540" t="str">
        <f>IFERROR(VLOOKUP(BZ44,bhpc_data[],22,FALSE),"")</f>
        <v/>
      </c>
      <c r="EE44" s="454" t="s">
        <v>113</v>
      </c>
      <c r="EF44" s="447" t="str">
        <f>VLOOKUP(EE44,bhpc_data[],7,FALSE)</f>
        <v>BHPC SPORT MEN 9 EDT 100ML</v>
      </c>
      <c r="EG44" s="555">
        <f>IFERROR(VLOOKUP(EE44,inventory[],4,FALSE),0)</f>
        <v>12936</v>
      </c>
      <c r="EH44" s="555">
        <f>IFERROR(VLOOKUP(warehouse[[#This Row],[SKU]],$EQ$10:$ES$38,3,FALSE),0)</f>
        <v>0</v>
      </c>
      <c r="EI44" s="555">
        <f>IFERROR(VLOOKUP(warehouse[[#This Row],[SKU]],$EM$10:$EO$61,3,FALSE),0)</f>
        <v>4274</v>
      </c>
      <c r="EJ44" s="555">
        <f>warehouse[[#This Row],[T-1]]+warehouse[[#This Row],[SUPPLY]]-warehouse[[#This Row],[SALE + SAMPLING]]</f>
        <v>8662</v>
      </c>
      <c r="EK44" s="449"/>
      <c r="EM44" s="74" t="s">
        <v>132</v>
      </c>
      <c r="EN44" s="74" t="s">
        <v>843</v>
      </c>
      <c r="EO44" s="431">
        <v>2070</v>
      </c>
    </row>
    <row r="45" spans="6:149" ht="15" customHeight="1">
      <c r="L45" s="274" t="str">
        <f t="array" ref="L45">IFERROR(IF($D$9="",IF($D$11="",IF($D$13="",INDEX(orderHistory[customer],SMALL(MATCH(ROW(orderHistory[customer]),ROW(orderHistory[customer])),ROWS($A$15:A50)+$B$3)),INDEX(orderHistory[customer],SMALL(IF(ISNUMBER(MATCH(orderHistory[order_type],$D$13,0)),MATCH(ROW(orderHistory[customer]),ROW(orderHistory[customer])),""),ROWS($A$15:A50)+$B$3))),IF($D$13="",INDEX(orderHistory[customer],SMALL(IF(ISNUMBER(MATCH(orderHistory[status],$D$11,0)),MATCH(ROW(orderHistory[customer]),ROW(orderHistory[customer])),""),ROWS($A$15:A50)+$B$3)),INDEX(orderHistory[customer],SMALL(IF(ISNUMBER(MATCH(orderHistory[status],$D$11,0)*MATCH(orderHistory[order_type],$D$13,0)),MATCH(ROW(orderHistory[customer]),ROW(orderHistory[customer])),""),ROWS($A$15:A50)+$B$3)))),IF($D$11="",IF($D$13="",INDEX(orderHistory[customer],SMALL(IF(ISNUMBER(MATCH(orderHistory[customer],$D$9,0)),MATCH(ROW(orderHistory[customer]),ROW(orderHistory[customer])),""),ROWS($A$15:A50)+$B$3)),INDEX(orderHistory[customer],SMALL(IF(ISNUMBER(MATCH(orderHistory[customer],$D$9,0)*MATCH(orderHistory[order_type],$D$13,0)),MATCH(ROW(orderHistory[customer]),ROW(orderHistory[customer])),""),ROWS($A$15:A50)+$B$3))),IF($D$13="",INDEX(orderHistory[customer],SMALL(IF(ISNUMBER(MATCH(orderHistory[customer],$D$9,0)*MATCH(orderHistory[status],$D$11,0)),MATCH(ROW(orderHistory[customer]),ROW(orderHistory[customer])),""),ROWS($A$15:A50)+$B$3)),INDEX(orderHistory[customer],SMALL(IF(ISNUMBER(MATCH(orderHistory[customer],$D$9,0)*MATCH(orderHistory[status],$D$11,0)*MATCH(orderHistory[order_type],$D$13,0)),MATCH(ROW(orderHistory[customer]),ROW(orderHistory[customer])),""),ROWS($A$15:A50)+$B$3))))),"")</f>
        <v/>
      </c>
      <c r="M45" s="391" t="str">
        <f t="array" ref="M45">IFERROR(IF($D$9="",IF($D$11="",IF($D$13="",INDEX(orderHistory[order_no],SMALL(MATCH(ROW(orderHistory[customer]),ROW(orderHistory[customer])),ROWS($A$15:A50)+$B$3)),INDEX(orderHistory[order_no],SMALL(IF(ISNUMBER(MATCH(orderHistory[order_type],$D$13,0)),MATCH(ROW(orderHistory[customer]),ROW(orderHistory[customer])),""),ROWS($A$15:A50)+$B$3))),IF($D$13="",INDEX(orderHistory[order_no],SMALL(IF(ISNUMBER(MATCH(orderHistory[status],$D$11,0)),MATCH(ROW(orderHistory[customer]),ROW(orderHistory[customer])),""),ROWS($A$15:A50)+$B$3)),INDEX(orderHistory[order_no],SMALL(IF(ISNUMBER(MATCH(orderHistory[status],$D$11,0)*MATCH(orderHistory[order_type],$D$13,0)),MATCH(ROW(orderHistory[customer]),ROW(orderHistory[customer])),""),ROWS($A$15:A50)+$B$3)))),IF($D$11="",IF($D$13="",INDEX(orderHistory[order_no],SMALL(IF(ISNUMBER(MATCH(orderHistory[customer],$D$9,0)),MATCH(ROW(orderHistory[customer]),ROW(orderHistory[customer])),""),ROWS($A$15:A50)+$B$3)),INDEX(orderHistory[order_no],SMALL(IF(ISNUMBER(MATCH(orderHistory[customer],$D$9,0)*MATCH(orderHistory[order_type],$D$13,0)),MATCH(ROW(orderHistory[customer]),ROW(orderHistory[customer])),""),ROWS($A$15:A50)+$B$3))),IF($D$13="",INDEX(orderHistory[order_no],SMALL(IF(ISNUMBER(MATCH(orderHistory[customer],$D$9,0)*MATCH(orderHistory[status],$D$11,0)),MATCH(ROW(orderHistory[customer]),ROW(orderHistory[customer])),""),ROWS($A$15:A50)+$B$3)),INDEX(orderHistory[order_no],SMALL(IF(ISNUMBER(MATCH(orderHistory[customer],$D$9,0)*MATCH(orderHistory[status],$D$11,0)*MATCH(orderHistory[order_type],$D$13,0)),MATCH(ROW(orderHistory[customer]),ROW(orderHistory[customer])),""),ROWS($A$15:A50)+$B$3))))),"")</f>
        <v/>
      </c>
      <c r="N45" s="386" t="str">
        <f t="array" ref="N45">IFERROR(IF($D$9="",IF($D$11="",IF($D$13="",INDEX(orderHistory[order_type],SMALL(MATCH(ROW(orderHistory[customer]),ROW(orderHistory[customer])),ROWS($A$15:A50)+$B$3)),INDEX(orderHistory[order_type],SMALL(IF(ISNUMBER(MATCH(orderHistory[order_type],$D$13,0)),MATCH(ROW(orderHistory[customer]),ROW(orderHistory[customer])),""),ROWS($A$15:A50)+$B$3))),IF($D$13="",INDEX(orderHistory[order_type],SMALL(IF(ISNUMBER(MATCH(orderHistory[status],$D$11,0)),MATCH(ROW(orderHistory[customer]),ROW(orderHistory[customer])),""),ROWS($A$15:A50)+$B$3)),INDEX(orderHistory[order_type],SMALL(IF(ISNUMBER(MATCH(orderHistory[status],$D$11,0)*MATCH(orderHistory[order_type],$D$13,0)),MATCH(ROW(orderHistory[customer]),ROW(orderHistory[customer])),""),ROWS($A$15:A50)+$B$3)))),IF($D$11="",IF($D$13="",INDEX(orderHistory[order_type],SMALL(IF(ISNUMBER(MATCH(orderHistory[customer],$D$9,0)),MATCH(ROW(orderHistory[customer]),ROW(orderHistory[customer])),""),ROWS($A$15:A50)+$B$3)),INDEX(orderHistory[order_type],SMALL(IF(ISNUMBER(MATCH(orderHistory[customer],$D$9,0)*MATCH(orderHistory[order_type],$D$13,0)),MATCH(ROW(orderHistory[customer]),ROW(orderHistory[customer])),""),ROWS($A$15:A50)+$B$3))),IF($D$13="",INDEX(orderHistory[order_type],SMALL(IF(ISNUMBER(MATCH(orderHistory[customer],$D$9,0)*MATCH(orderHistory[status],$D$11,0)),MATCH(ROW(orderHistory[customer]),ROW(orderHistory[customer])),""),ROWS($A$15:A50)+$B$3)),INDEX(orderHistory[order_type],SMALL(IF(ISNUMBER(MATCH(orderHistory[customer],$D$9,0)*MATCH(orderHistory[status],$D$11,0)*MATCH(orderHistory[order_type],$D$13,0)),MATCH(ROW(orderHistory[customer]),ROW(orderHistory[customer])),""),ROWS($A$15:A50)+$B$3))))),"")</f>
        <v/>
      </c>
      <c r="O45" s="275" t="str">
        <f t="array" ref="O45">IFERROR(IF($D$9="",IF($D$11="",IF($D$13="",INDEX(orderHistory[order_date],SMALL(MATCH(ROW(orderHistory[customer]),ROW(orderHistory[customer])),ROWS($A$15:A50)+$B$3)),INDEX(orderHistory[order_date],SMALL(IF(ISNUMBER(MATCH(orderHistory[order_type],$D$13,0)),MATCH(ROW(orderHistory[customer]),ROW(orderHistory[customer])),""),ROWS($A$15:A50)+$B$3))),IF($D$13="",INDEX(orderHistory[order_date],SMALL(IF(ISNUMBER(MATCH(orderHistory[status],$D$11,0)),MATCH(ROW(orderHistory[customer]),ROW(orderHistory[customer])),""),ROWS($A$15:A50)+$B$3)),INDEX(orderHistory[order_date],SMALL(IF(ISNUMBER(MATCH(orderHistory[status],$D$11,0)*MATCH(orderHistory[order_type],$D$13,0)),MATCH(ROW(orderHistory[customer]),ROW(orderHistory[customer])),""),ROWS($A$15:A50)+$B$3)))),IF($D$11="",IF($D$13="",INDEX(orderHistory[order_date],SMALL(IF(ISNUMBER(MATCH(orderHistory[customer],$D$9,0)),MATCH(ROW(orderHistory[customer]),ROW(orderHistory[customer])),""),ROWS($A$15:A50)+$B$3)),INDEX(orderHistory[order_date],SMALL(IF(ISNUMBER(MATCH(orderHistory[customer],$D$9,0)*MATCH(orderHistory[order_type],$D$13,0)),MATCH(ROW(orderHistory[customer]),ROW(orderHistory[customer])),""),ROWS($A$15:A50)+$B$3))),IF($D$13="",INDEX(orderHistory[order_date],SMALL(IF(ISNUMBER(MATCH(orderHistory[customer],$D$9,0)*MATCH(orderHistory[status],$D$11,0)),MATCH(ROW(orderHistory[customer]),ROW(orderHistory[customer])),""),ROWS($A$15:A50)+$B$3)),INDEX(orderHistory[order_date],SMALL(IF(ISNUMBER(MATCH(orderHistory[customer],$D$9,0)*MATCH(orderHistory[status],$D$11,0)*MATCH(orderHistory[order_type],$D$13,0)),MATCH(ROW(orderHistory[customer]),ROW(orderHistory[customer])),""),ROWS($A$15:A50)+$B$3))))),"")</f>
        <v/>
      </c>
      <c r="P45" s="379" t="str">
        <f t="array" ref="P45">IF(IFERROR(IF($D$9="",IF($D$11="",IF($D$13="",INDEX(orderHistory[invoice_no],SMALL(MATCH(ROW(orderHistory[customer]),ROW(orderHistory[customer])),ROWS($A$15:A50)+$B$3)),INDEX(orderHistory[invoice_no],SMALL(IF(ISNUMBER(MATCH(orderHistory[order_type],$D$13,0)),MATCH(ROW(orderHistory[customer]),ROW(orderHistory[customer])),""),ROWS($A$15:A50)+$B$3))),IF($D$13="",INDEX(orderHistory[invoice_no],SMALL(IF(ISNUMBER(MATCH(orderHistory[status],$D$11,0)),MATCH(ROW(orderHistory[customer]),ROW(orderHistory[customer])),""),ROWS($A$15:A50)+$B$3)),INDEX(orderHistory[invoice_no],SMALL(IF(ISNUMBER(MATCH(orderHistory[status],$D$11,0)*MATCH(orderHistory[order_type],$D$13,0)),MATCH(ROW(orderHistory[customer]),ROW(orderHistory[customer])),""),ROWS($A$15:A50)+$B$3)))),IF($D$11="",IF($D$13="",INDEX(orderHistory[invoice_no],SMALL(IF(ISNUMBER(MATCH(orderHistory[customer],$D$9,0)),MATCH(ROW(orderHistory[customer]),ROW(orderHistory[customer])),""),ROWS($A$15:A50)+$B$3)),INDEX(orderHistory[invoice_no],SMALL(IF(ISNUMBER(MATCH(orderHistory[customer],$D$9,0)*MATCH(orderHistory[order_type],$D$13,0)),MATCH(ROW(orderHistory[customer]),ROW(orderHistory[customer])),""),ROWS($A$15:A50)+$B$3))),IF($D$13="",INDEX(orderHistory[invoice_no],SMALL(IF(ISNUMBER(MATCH(orderHistory[customer],$D$9,0)*MATCH(orderHistory[status],$D$11,0)),MATCH(ROW(orderHistory[customer]),ROW(orderHistory[customer])),""),ROWS($A$15:A50)+$B$3)),INDEX(orderHistory[invoice_no],SMALL(IF(ISNUMBER(MATCH(orderHistory[customer],$D$9,0)*MATCH(orderHistory[status],$D$11,0)*MATCH(orderHistory[order_type],$D$13,0)),MATCH(ROW(orderHistory[customer]),ROW(orderHistory[customer])),""),ROWS($A$15:A50)+$B$3))))),"")=0,"",IFERROR(IF($D$9="",IF($D$11="",IF($D$13="",INDEX(orderHistory[invoice_no],SMALL(MATCH(ROW(orderHistory[customer]),ROW(orderHistory[customer])),ROWS($A$15:A50)+$B$3)),INDEX(orderHistory[invoice_no],SMALL(IF(ISNUMBER(MATCH(orderHistory[order_type],$D$13,0)),MATCH(ROW(orderHistory[customer]),ROW(orderHistory[customer])),""),ROWS($A$15:A50)+$B$3))),IF($D$13="",INDEX(orderHistory[invoice_no],SMALL(IF(ISNUMBER(MATCH(orderHistory[status],$D$11,0)),MATCH(ROW(orderHistory[customer]),ROW(orderHistory[customer])),""),ROWS($A$15:A50)+$B$3)),INDEX(orderHistory[invoice_no],SMALL(IF(ISNUMBER(MATCH(orderHistory[status],$D$11,0)*MATCH(orderHistory[order_type],$D$13,0)),MATCH(ROW(orderHistory[customer]),ROW(orderHistory[customer])),""),ROWS($A$15:A50)+$B$3)))),IF($D$11="",IF($D$13="",INDEX(orderHistory[invoice_no],SMALL(IF(ISNUMBER(MATCH(orderHistory[customer],$D$9,0)),MATCH(ROW(orderHistory[customer]),ROW(orderHistory[customer])),""),ROWS($A$15:A50)+$B$3)),INDEX(orderHistory[invoice_no],SMALL(IF(ISNUMBER(MATCH(orderHistory[customer],$D$9,0)*MATCH(orderHistory[order_type],$D$13,0)),MATCH(ROW(orderHistory[customer]),ROW(orderHistory[customer])),""),ROWS($A$15:A50)+$B$3))),IF($D$13="",INDEX(orderHistory[invoice_no],SMALL(IF(ISNUMBER(MATCH(orderHistory[customer],$D$9,0)*MATCH(orderHistory[status],$D$11,0)),MATCH(ROW(orderHistory[customer]),ROW(orderHistory[customer])),""),ROWS($A$15:A50)+$B$3)),INDEX(orderHistory[invoice_no],SMALL(IF(ISNUMBER(MATCH(orderHistory[customer],$D$9,0)*MATCH(orderHistory[status],$D$11,0)*MATCH(orderHistory[order_type],$D$13,0)),MATCH(ROW(orderHistory[customer]),ROW(orderHistory[customer])),""),ROWS($A$15:A50)+$B$3))))),""))</f>
        <v/>
      </c>
      <c r="Q45" s="381" t="str">
        <f t="array" ref="Q45">IF(IFERROR(IF($D$9="",IF($D$11="",IF($D$13="",INDEX(orderHistory[invoice_date],SMALL(MATCH(ROW(orderHistory[customer]),ROW(orderHistory[customer])),ROWS($A$15:A50)+$B$3)),INDEX(orderHistory[invoice_date],SMALL(IF(ISNUMBER(MATCH(orderHistory[order_type],$D$13,0)),MATCH(ROW(orderHistory[customer]),ROW(orderHistory[customer])),""),ROWS($A$15:A50)+$B$3))),IF($D$13="",INDEX(orderHistory[invoice_date],SMALL(IF(ISNUMBER(MATCH(orderHistory[status],$D$11,0)),MATCH(ROW(orderHistory[customer]),ROW(orderHistory[customer])),""),ROWS($A$15:A50)+$B$3)),INDEX(orderHistory[invoice_date],SMALL(IF(ISNUMBER(MATCH(orderHistory[status],$D$11,0)*MATCH(orderHistory[order_type],$D$13,0)),MATCH(ROW(orderHistory[customer]),ROW(orderHistory[customer])),""),ROWS($A$15:A50)+$B$3)))),IF($D$11="",IF($D$13="",INDEX(orderHistory[invoice_date],SMALL(IF(ISNUMBER(MATCH(orderHistory[customer],$D$9,0)),MATCH(ROW(orderHistory[customer]),ROW(orderHistory[customer])),""),ROWS($A$15:A50)+$B$3)),INDEX(orderHistory[invoice_date],SMALL(IF(ISNUMBER(MATCH(orderHistory[customer],$D$9,0)*MATCH(orderHistory[order_type],$D$13,0)),MATCH(ROW(orderHistory[customer]),ROW(orderHistory[customer])),""),ROWS($A$15:A50)+$B$3))),IF($D$13="",INDEX(orderHistory[invoice_date],SMALL(IF(ISNUMBER(MATCH(orderHistory[customer],$D$9,0)*MATCH(orderHistory[status],$D$11,0)),MATCH(ROW(orderHistory[customer]),ROW(orderHistory[customer])),""),ROWS($A$15:A50)+$B$3)),INDEX(orderHistory[invoice_date],SMALL(IF(ISNUMBER(MATCH(orderHistory[customer],$D$9,0)*MATCH(orderHistory[status],$D$11,0)*MATCH(orderHistory[order_type],$D$13,0)),MATCH(ROW(orderHistory[customer]),ROW(orderHistory[customer])),""),ROWS($A$15:A50)+$B$3))))),"")=0,"",IFERROR(IF($D$9="",IF($D$11="",IF($D$13="",INDEX(orderHistory[invoice_date],SMALL(MATCH(ROW(orderHistory[customer]),ROW(orderHistory[customer])),ROWS($A$15:A50)+$B$3)),INDEX(orderHistory[invoice_date],SMALL(IF(ISNUMBER(MATCH(orderHistory[order_type],$D$13,0)),MATCH(ROW(orderHistory[customer]),ROW(orderHistory[customer])),""),ROWS($A$15:A50)+$B$3))),IF($D$13="",INDEX(orderHistory[invoice_date],SMALL(IF(ISNUMBER(MATCH(orderHistory[status],$D$11,0)),MATCH(ROW(orderHistory[customer]),ROW(orderHistory[customer])),""),ROWS($A$15:A50)+$B$3)),INDEX(orderHistory[invoice_date],SMALL(IF(ISNUMBER(MATCH(orderHistory[status],$D$11,0)*MATCH(orderHistory[order_type],$D$13,0)),MATCH(ROW(orderHistory[customer]),ROW(orderHistory[customer])),""),ROWS($A$15:A50)+$B$3)))),IF($D$11="",IF($D$13="",INDEX(orderHistory[invoice_date],SMALL(IF(ISNUMBER(MATCH(orderHistory[customer],$D$9,0)),MATCH(ROW(orderHistory[customer]),ROW(orderHistory[customer])),""),ROWS($A$15:A50)+$B$3)),INDEX(orderHistory[invoice_date],SMALL(IF(ISNUMBER(MATCH(orderHistory[customer],$D$9,0)*MATCH(orderHistory[order_type],$D$13,0)),MATCH(ROW(orderHistory[customer]),ROW(orderHistory[customer])),""),ROWS($A$15:A50)+$B$3))),IF($D$13="",INDEX(orderHistory[invoice_date],SMALL(IF(ISNUMBER(MATCH(orderHistory[customer],$D$9,0)*MATCH(orderHistory[status],$D$11,0)),MATCH(ROW(orderHistory[customer]),ROW(orderHistory[customer])),""),ROWS($A$15:A50)+$B$3)),INDEX(orderHistory[invoice_date],SMALL(IF(ISNUMBER(MATCH(orderHistory[customer],$D$9,0)*MATCH(orderHistory[status],$D$11,0)*MATCH(orderHistory[order_type],$D$13,0)),MATCH(ROW(orderHistory[customer]),ROW(orderHistory[customer])),""),ROWS($A$15:A50)+$B$3))))),""))</f>
        <v/>
      </c>
      <c r="R45" s="377" t="str">
        <f t="array" ref="R45">IFERROR(IF($D$9="",IF($D$11="",IF($D$13="",INDEX(orderHistory[inv_amount],SMALL(MATCH(ROW(orderHistory[customer]),ROW(orderHistory[customer])),ROWS($A$15:A50)+$B$3)),INDEX(orderHistory[inv_amount],SMALL(IF(ISNUMBER(MATCH(orderHistory[order_type],$D$13,0)),MATCH(ROW(orderHistory[customer]),ROW(orderHistory[customer])),""),ROWS($A$15:A50)+$B$3))),IF($D$13="",INDEX(orderHistory[inv_amount],SMALL(IF(ISNUMBER(MATCH(orderHistory[status],$D$11,0)),MATCH(ROW(orderHistory[customer]),ROW(orderHistory[customer])),""),ROWS($A$15:A50)+$B$3)),INDEX(orderHistory[inv_amount],SMALL(IF(ISNUMBER(MATCH(orderHistory[status],$D$11,0)*MATCH(orderHistory[order_type],$D$13,0)),MATCH(ROW(orderHistory[customer]),ROW(orderHistory[customer])),""),ROWS($A$15:A50)+$B$3)))),IF($D$11="",IF($D$13="",INDEX(orderHistory[inv_amount],SMALL(IF(ISNUMBER(MATCH(orderHistory[customer],$D$9,0)),MATCH(ROW(orderHistory[customer]),ROW(orderHistory[customer])),""),ROWS($A$15:A50)+$B$3)),INDEX(orderHistory[inv_amount],SMALL(IF(ISNUMBER(MATCH(orderHistory[customer],$D$9,0)*MATCH(orderHistory[order_type],$D$13,0)),MATCH(ROW(orderHistory[customer]),ROW(orderHistory[customer])),""),ROWS($A$15:A50)+$B$3))),IF($D$13="",INDEX(orderHistory[inv_amount],SMALL(IF(ISNUMBER(MATCH(orderHistory[customer],$D$9,0)*MATCH(orderHistory[status],$D$11,0)),MATCH(ROW(orderHistory[customer]),ROW(orderHistory[customer])),""),ROWS($A$15:A50)+$B$3)),INDEX(orderHistory[inv_amount],SMALL(IF(ISNUMBER(MATCH(orderHistory[customer],$D$9,0)*MATCH(orderHistory[status],$D$11,0)*MATCH(orderHistory[order_type],$D$13,0)),MATCH(ROW(orderHistory[customer]),ROW(orderHistory[customer])),""),ROWS($A$15:A50)+$B$3))))),"")</f>
        <v/>
      </c>
      <c r="S45" s="383" t="str">
        <f t="shared" si="1"/>
        <v/>
      </c>
      <c r="T45" s="385" t="str">
        <f t="array" ref="T45">IFERROR(IF($D$9="",IF($D$11="",IF($D$13="",INDEX(orderHistory[payed],SMALL(MATCH(ROW(orderHistory[customer]),ROW(orderHistory[customer])),ROWS($A$15:A50)+$B$3)),INDEX(orderHistory[payed],SMALL(IF(ISNUMBER(MATCH(orderHistory[order_type],$D$13,0)),MATCH(ROW(orderHistory[customer]),ROW(orderHistory[customer])),""),ROWS($A$15:A50)+$B$3))),IF($D$13="",INDEX(orderHistory[payed],SMALL(IF(ISNUMBER(MATCH(orderHistory[status],$D$11,0)),MATCH(ROW(orderHistory[customer]),ROW(orderHistory[customer])),""),ROWS($A$15:A50)+$B$3)),INDEX(orderHistory[payed],SMALL(IF(ISNUMBER(MATCH(orderHistory[status],$D$11,0)*MATCH(orderHistory[order_type],$D$13,0)),MATCH(ROW(orderHistory[customer]),ROW(orderHistory[customer])),""),ROWS($A$15:A50)+$B$3)))),IF($D$11="",IF($D$13="",INDEX(orderHistory[payed],SMALL(IF(ISNUMBER(MATCH(orderHistory[customer],$D$9,0)),MATCH(ROW(orderHistory[customer]),ROW(orderHistory[customer])),""),ROWS($A$15:A50)+$B$3)),INDEX(orderHistory[payed],SMALL(IF(ISNUMBER(MATCH(orderHistory[customer],$D$9,0)*MATCH(orderHistory[order_type],$D$13,0)),MATCH(ROW(orderHistory[customer]),ROW(orderHistory[customer])),""),ROWS($A$15:A50)+$B$3))),IF($D$13="",INDEX(orderHistory[payed],SMALL(IF(ISNUMBER(MATCH(orderHistory[customer],$D$9,0)*MATCH(orderHistory[status],$D$11,0)),MATCH(ROW(orderHistory[customer]),ROW(orderHistory[customer])),""),ROWS($A$15:A50)+$B$3)),INDEX(orderHistory[payed],SMALL(IF(ISNUMBER(MATCH(orderHistory[customer],$D$9,0)*MATCH(orderHistory[status],$D$11,0)*MATCH(orderHistory[order_type],$D$13,0)),MATCH(ROW(orderHistory[customer]),ROW(orderHistory[customer])),""),ROWS($A$15:A50)+$B$3))))),"")</f>
        <v/>
      </c>
      <c r="U45" s="386" t="str">
        <f t="array" ref="U45">IFERROR(IF($D$9="",IF($D$11="",IF($D$13="",INDEX(orderHistory[shipping_method],SMALL(MATCH(ROW(orderHistory[customer]),ROW(orderHistory[customer])),ROWS($A$15:A50)+$B$3)),INDEX(orderHistory[shipping_method],SMALL(IF(ISNUMBER(MATCH(orderHistory[order_type],$D$13,0)),MATCH(ROW(orderHistory[customer]),ROW(orderHistory[customer])),""),ROWS($A$15:A50)+$B$3))),IF($D$13="",INDEX(orderHistory[shipping_method],SMALL(IF(ISNUMBER(MATCH(orderHistory[status],$D$11,0)),MATCH(ROW(orderHistory[customer]),ROW(orderHistory[customer])),""),ROWS($A$15:A50)+$B$3)),INDEX(orderHistory[shipping_method],SMALL(IF(ISNUMBER(MATCH(orderHistory[status],$D$11,0)*MATCH(orderHistory[order_type],$D$13,0)),MATCH(ROW(orderHistory[customer]),ROW(orderHistory[customer])),""),ROWS($A$15:A50)+$B$3)))),IF($D$11="",IF($D$13="",INDEX(orderHistory[shipping_method],SMALL(IF(ISNUMBER(MATCH(orderHistory[customer],$D$9,0)),MATCH(ROW(orderHistory[customer]),ROW(orderHistory[customer])),""),ROWS($A$15:A50)+$B$3)),INDEX(orderHistory[shipping_method],SMALL(IF(ISNUMBER(MATCH(orderHistory[customer],$D$9,0)*MATCH(orderHistory[order_type],$D$13,0)),MATCH(ROW(orderHistory[customer]),ROW(orderHistory[customer])),""),ROWS($A$15:A50)+$B$3))),IF($D$13="",INDEX(orderHistory[shipping_method],SMALL(IF(ISNUMBER(MATCH(orderHistory[customer],$D$9,0)*MATCH(orderHistory[status],$D$11,0)),MATCH(ROW(orderHistory[customer]),ROW(orderHistory[customer])),""),ROWS($A$15:A50)+$B$3)),INDEX(orderHistory[shipping_method],SMALL(IF(ISNUMBER(MATCH(orderHistory[customer],$D$9,0)*MATCH(orderHistory[status],$D$11,0)*MATCH(orderHistory[order_type],$D$13,0)),MATCH(ROW(orderHistory[customer]),ROW(orderHistory[customer])),""),ROWS($A$15:A50)+$B$3))))),"")</f>
        <v/>
      </c>
      <c r="V45" s="387" t="str">
        <f t="array" ref="V45">IFERROR(IF($D$9="",IF($D$11="",IF($D$13="",INDEX(orderHistory[status],SMALL(MATCH(ROW(orderHistory[customer]),ROW(orderHistory[customer])),ROWS($A$15:A50)+$B$3)),INDEX(orderHistory[status],SMALL(IF(ISNUMBER(MATCH(orderHistory[order_type],$D$13,0)),MATCH(ROW(orderHistory[customer]),ROW(orderHistory[customer])),""),ROWS($A$15:A50)+$B$3))),IF($D$13="",INDEX(orderHistory[status],SMALL(IF(ISNUMBER(MATCH(orderHistory[status],$D$11,0)),MATCH(ROW(orderHistory[customer]),ROW(orderHistory[customer])),""),ROWS($A$15:A50)+$B$3)),INDEX(orderHistory[status],SMALL(IF(ISNUMBER(MATCH(orderHistory[status],$D$11,0)*MATCH(orderHistory[order_type],$D$13,0)),MATCH(ROW(orderHistory[customer]),ROW(orderHistory[customer])),""),ROWS($A$15:A50)+$B$3)))),IF($D$11="",IF($D$13="",INDEX(orderHistory[status],SMALL(IF(ISNUMBER(MATCH(orderHistory[customer],$D$9,0)),MATCH(ROW(orderHistory[customer]),ROW(orderHistory[customer])),""),ROWS($A$15:A50)+$B$3)),INDEX(orderHistory[status],SMALL(IF(ISNUMBER(MATCH(orderHistory[customer],$D$9,0)*MATCH(orderHistory[order_type],$D$13,0)),MATCH(ROW(orderHistory[customer]),ROW(orderHistory[customer])),""),ROWS($A$15:A50)+$B$3))),IF($D$13="",INDEX(orderHistory[status],SMALL(IF(ISNUMBER(MATCH(orderHistory[customer],$D$9,0)*MATCH(orderHistory[status],$D$11,0)),MATCH(ROW(orderHistory[customer]),ROW(orderHistory[customer])),""),ROWS($A$15:A50)+$B$3)),INDEX(orderHistory[status],SMALL(IF(ISNUMBER(MATCH(orderHistory[customer],$D$9,0)*MATCH(orderHistory[status],$D$11,0)*MATCH(orderHistory[order_type],$D$13,0)),MATCH(ROW(orderHistory[customer]),ROW(orderHistory[customer])),""),ROWS($A$15:A50)+$B$3))))),"")</f>
        <v/>
      </c>
      <c r="BK45" s="146"/>
      <c r="BL45" s="147"/>
      <c r="BM45" s="148"/>
      <c r="BN45" s="147"/>
      <c r="BO45" s="148"/>
      <c r="BZ45" s="295"/>
      <c r="CA45" s="270" t="str">
        <f>IF(BZ45="","",VLOOKUP(BZ45,bhpc_data[],7,FALSE))</f>
        <v/>
      </c>
      <c r="CB45" s="296"/>
      <c r="CC45" s="642"/>
      <c r="CD45" s="297"/>
      <c r="CE45" s="645"/>
      <c r="CF45" s="298"/>
      <c r="CG45" s="301" t="str">
        <f>IFERROR(ROUNDUP(CB45/VLOOKUP(BZ45,bhpc_data[],9,FALSE),0)+ROUNDUP(CD45/VLOOKUP(BZ45,bhpc_data[],9,FALSE),0),"")</f>
        <v/>
      </c>
      <c r="CH45" s="302" t="str">
        <f>IFERROR(ROUNDUP(CD45/VLOOKUP(BZ45,bhpc_data[],9,FALSE),0),"")</f>
        <v/>
      </c>
      <c r="CI45" s="302" t="str">
        <f>IFERROR(ROUNDUP(CF45/VLOOKUP(BZ45,bhpc_data[],9,FALSE),0),"")</f>
        <v/>
      </c>
      <c r="CJ45" s="302" t="str">
        <f>IFERROR(((CB45+CD45+CF45)/VLOOKUP(BZ45,bhpc_data[],9,FALSE))*VLOOKUP(BZ45,bhpc_data[],17,FALSE),"")</f>
        <v/>
      </c>
      <c r="CK45" s="302" t="str">
        <f>IFERROR(((CB45+CD45+CF45)/VLOOKUP(BZ45,bhpc_data[],9,FALSE))*VLOOKUP(BZ45,bhpc_data[],18,FALSE),"")</f>
        <v/>
      </c>
      <c r="CL45" s="346" t="str">
        <f>IFERROR((CB45+CD45)/VLOOKUP(BZ45,bhpc_data[],9,FALSE)*VLOOKUP(BZ45,bhpc_data[],14,FALSE)*VLOOKUP(BZ45,bhpc_data[],15,FALSE)*VLOOKUP(BZ45,bhpc_data[],16,FALSE)/1000000000,"")</f>
        <v/>
      </c>
      <c r="CM45" s="409" t="str">
        <f>IFERROR(VLOOKUP(BZ45,bhpc_data[],2,FALSE),"")</f>
        <v/>
      </c>
      <c r="CN45" s="409" t="str">
        <f>IFERROR(VLOOKUP(BZ45,bhpc_data[],19,FALSE),"")</f>
        <v/>
      </c>
      <c r="CO45" s="653" t="str">
        <f>IFERROR(VLOOKUP(BZ45,bhpc_data[],6,FALSE),"")</f>
        <v/>
      </c>
      <c r="CP45" s="654" t="str">
        <f>IFERROR(VLOOKUP(BZ45,inventory[],4,FALSE),"")</f>
        <v/>
      </c>
      <c r="CQ45" s="651" t="str">
        <f>IFERROR(IF(BZ45="","",IF($BX$15="SALE",VLOOKUP(BZ45,inventory[],5,FALSE),IF($BX$15="SAMPLING",VLOOKUP(BZ45,inventory[],5,FALSE),""))),"")</f>
        <v/>
      </c>
      <c r="CR45" s="652" t="str">
        <f>IFERROR(IF(BZ45="","",(CB45+CD45+CF45)*CQ45),"")</f>
        <v/>
      </c>
      <c r="CS45" s="557" t="str">
        <f>IF(BZ45="","",CB45*CC45+CD45*CE45)</f>
        <v/>
      </c>
      <c r="CU45" s="607"/>
      <c r="CV45" s="411">
        <f>ROUNDUP(SUMIFS(bhpc_data[pallet_euro],bhpc_data[category],"BODYMIST"),0)</f>
        <v>0</v>
      </c>
      <c r="CW45" s="411">
        <f>ROUNDUP(SUMIFS(bhpc_data[pallet_euro],bhpc_data[category],"TESTER"),0)</f>
        <v>0</v>
      </c>
      <c r="CX45" s="411"/>
      <c r="CY45" s="411"/>
      <c r="CZ45" s="608"/>
      <c r="DA45" s="540" t="str">
        <f>IFERROR(VLOOKUP(BZ45,bhpc_data[],22,FALSE),"")</f>
        <v/>
      </c>
      <c r="EE45" s="454" t="s">
        <v>115</v>
      </c>
      <c r="EF45" s="447" t="str">
        <f>VLOOKUP(EE45,bhpc_data[],7,FALSE)</f>
        <v>BHPC SPORT MEN 8 EDT 100ML</v>
      </c>
      <c r="EG45" s="555">
        <f>IFERROR(VLOOKUP(EE45,inventory[],4,FALSE),0)</f>
        <v>12592</v>
      </c>
      <c r="EH45" s="555">
        <f>IFERROR(VLOOKUP(warehouse[[#This Row],[SKU]],$EQ$10:$ES$38,3,FALSE),0)</f>
        <v>0</v>
      </c>
      <c r="EI45" s="555">
        <f>IFERROR(VLOOKUP(warehouse[[#This Row],[SKU]],$EM$10:$EO$61,3,FALSE),0)</f>
        <v>3602</v>
      </c>
      <c r="EJ45" s="555">
        <f>warehouse[[#This Row],[T-1]]+warehouse[[#This Row],[SUPPLY]]-warehouse[[#This Row],[SALE + SAMPLING]]</f>
        <v>8990</v>
      </c>
      <c r="EK45" s="449"/>
      <c r="EM45" s="74" t="s">
        <v>134</v>
      </c>
      <c r="EN45" s="74" t="s">
        <v>135</v>
      </c>
      <c r="EO45" s="431">
        <v>1966</v>
      </c>
    </row>
    <row r="46" spans="6:149" ht="15" customHeight="1">
      <c r="L46" s="274" t="str">
        <f t="array" ref="L46">IFERROR(IF($D$9="",IF($D$11="",IF($D$13="",INDEX(orderHistory[customer],SMALL(MATCH(ROW(orderHistory[customer]),ROW(orderHistory[customer])),ROWS($A$15:A51)+$B$3)),INDEX(orderHistory[customer],SMALL(IF(ISNUMBER(MATCH(orderHistory[order_type],$D$13,0)),MATCH(ROW(orderHistory[customer]),ROW(orderHistory[customer])),""),ROWS($A$15:A51)+$B$3))),IF($D$13="",INDEX(orderHistory[customer],SMALL(IF(ISNUMBER(MATCH(orderHistory[status],$D$11,0)),MATCH(ROW(orderHistory[customer]),ROW(orderHistory[customer])),""),ROWS($A$15:A51)+$B$3)),INDEX(orderHistory[customer],SMALL(IF(ISNUMBER(MATCH(orderHistory[status],$D$11,0)*MATCH(orderHistory[order_type],$D$13,0)),MATCH(ROW(orderHistory[customer]),ROW(orderHistory[customer])),""),ROWS($A$15:A51)+$B$3)))),IF($D$11="",IF($D$13="",INDEX(orderHistory[customer],SMALL(IF(ISNUMBER(MATCH(orderHistory[customer],$D$9,0)),MATCH(ROW(orderHistory[customer]),ROW(orderHistory[customer])),""),ROWS($A$15:A51)+$B$3)),INDEX(orderHistory[customer],SMALL(IF(ISNUMBER(MATCH(orderHistory[customer],$D$9,0)*MATCH(orderHistory[order_type],$D$13,0)),MATCH(ROW(orderHistory[customer]),ROW(orderHistory[customer])),""),ROWS($A$15:A51)+$B$3))),IF($D$13="",INDEX(orderHistory[customer],SMALL(IF(ISNUMBER(MATCH(orderHistory[customer],$D$9,0)*MATCH(orderHistory[status],$D$11,0)),MATCH(ROW(orderHistory[customer]),ROW(orderHistory[customer])),""),ROWS($A$15:A51)+$B$3)),INDEX(orderHistory[customer],SMALL(IF(ISNUMBER(MATCH(orderHistory[customer],$D$9,0)*MATCH(orderHistory[status],$D$11,0)*MATCH(orderHistory[order_type],$D$13,0)),MATCH(ROW(orderHistory[customer]),ROW(orderHistory[customer])),""),ROWS($A$15:A51)+$B$3))))),"")</f>
        <v/>
      </c>
      <c r="M46" s="391" t="str">
        <f t="array" ref="M46">IFERROR(IF($D$9="",IF($D$11="",IF($D$13="",INDEX(orderHistory[order_no],SMALL(MATCH(ROW(orderHistory[customer]),ROW(orderHistory[customer])),ROWS($A$15:A51)+$B$3)),INDEX(orderHistory[order_no],SMALL(IF(ISNUMBER(MATCH(orderHistory[order_type],$D$13,0)),MATCH(ROW(orderHistory[customer]),ROW(orderHistory[customer])),""),ROWS($A$15:A51)+$B$3))),IF($D$13="",INDEX(orderHistory[order_no],SMALL(IF(ISNUMBER(MATCH(orderHistory[status],$D$11,0)),MATCH(ROW(orderHistory[customer]),ROW(orderHistory[customer])),""),ROWS($A$15:A51)+$B$3)),INDEX(orderHistory[order_no],SMALL(IF(ISNUMBER(MATCH(orderHistory[status],$D$11,0)*MATCH(orderHistory[order_type],$D$13,0)),MATCH(ROW(orderHistory[customer]),ROW(orderHistory[customer])),""),ROWS($A$15:A51)+$B$3)))),IF($D$11="",IF($D$13="",INDEX(orderHistory[order_no],SMALL(IF(ISNUMBER(MATCH(orderHistory[customer],$D$9,0)),MATCH(ROW(orderHistory[customer]),ROW(orderHistory[customer])),""),ROWS($A$15:A51)+$B$3)),INDEX(orderHistory[order_no],SMALL(IF(ISNUMBER(MATCH(orderHistory[customer],$D$9,0)*MATCH(orderHistory[order_type],$D$13,0)),MATCH(ROW(orderHistory[customer]),ROW(orderHistory[customer])),""),ROWS($A$15:A51)+$B$3))),IF($D$13="",INDEX(orderHistory[order_no],SMALL(IF(ISNUMBER(MATCH(orderHistory[customer],$D$9,0)*MATCH(orderHistory[status],$D$11,0)),MATCH(ROW(orderHistory[customer]),ROW(orderHistory[customer])),""),ROWS($A$15:A51)+$B$3)),INDEX(orderHistory[order_no],SMALL(IF(ISNUMBER(MATCH(orderHistory[customer],$D$9,0)*MATCH(orderHistory[status],$D$11,0)*MATCH(orderHistory[order_type],$D$13,0)),MATCH(ROW(orderHistory[customer]),ROW(orderHistory[customer])),""),ROWS($A$15:A51)+$B$3))))),"")</f>
        <v/>
      </c>
      <c r="N46" s="386" t="str">
        <f t="array" ref="N46">IFERROR(IF($D$9="",IF($D$11="",IF($D$13="",INDEX(orderHistory[order_type],SMALL(MATCH(ROW(orderHistory[customer]),ROW(orderHistory[customer])),ROWS($A$15:A51)+$B$3)),INDEX(orderHistory[order_type],SMALL(IF(ISNUMBER(MATCH(orderHistory[order_type],$D$13,0)),MATCH(ROW(orderHistory[customer]),ROW(orderHistory[customer])),""),ROWS($A$15:A51)+$B$3))),IF($D$13="",INDEX(orderHistory[order_type],SMALL(IF(ISNUMBER(MATCH(orderHistory[status],$D$11,0)),MATCH(ROW(orderHistory[customer]),ROW(orderHistory[customer])),""),ROWS($A$15:A51)+$B$3)),INDEX(orderHistory[order_type],SMALL(IF(ISNUMBER(MATCH(orderHistory[status],$D$11,0)*MATCH(orderHistory[order_type],$D$13,0)),MATCH(ROW(orderHistory[customer]),ROW(orderHistory[customer])),""),ROWS($A$15:A51)+$B$3)))),IF($D$11="",IF($D$13="",INDEX(orderHistory[order_type],SMALL(IF(ISNUMBER(MATCH(orderHistory[customer],$D$9,0)),MATCH(ROW(orderHistory[customer]),ROW(orderHistory[customer])),""),ROWS($A$15:A51)+$B$3)),INDEX(orderHistory[order_type],SMALL(IF(ISNUMBER(MATCH(orderHistory[customer],$D$9,0)*MATCH(orderHistory[order_type],$D$13,0)),MATCH(ROW(orderHistory[customer]),ROW(orderHistory[customer])),""),ROWS($A$15:A51)+$B$3))),IF($D$13="",INDEX(orderHistory[order_type],SMALL(IF(ISNUMBER(MATCH(orderHistory[customer],$D$9,0)*MATCH(orderHistory[status],$D$11,0)),MATCH(ROW(orderHistory[customer]),ROW(orderHistory[customer])),""),ROWS($A$15:A51)+$B$3)),INDEX(orderHistory[order_type],SMALL(IF(ISNUMBER(MATCH(orderHistory[customer],$D$9,0)*MATCH(orderHistory[status],$D$11,0)*MATCH(orderHistory[order_type],$D$13,0)),MATCH(ROW(orderHistory[customer]),ROW(orderHistory[customer])),""),ROWS($A$15:A51)+$B$3))))),"")</f>
        <v/>
      </c>
      <c r="O46" s="275" t="str">
        <f t="array" ref="O46">IFERROR(IF($D$9="",IF($D$11="",IF($D$13="",INDEX(orderHistory[order_date],SMALL(MATCH(ROW(orderHistory[customer]),ROW(orderHistory[customer])),ROWS($A$15:A51)+$B$3)),INDEX(orderHistory[order_date],SMALL(IF(ISNUMBER(MATCH(orderHistory[order_type],$D$13,0)),MATCH(ROW(orderHistory[customer]),ROW(orderHistory[customer])),""),ROWS($A$15:A51)+$B$3))),IF($D$13="",INDEX(orderHistory[order_date],SMALL(IF(ISNUMBER(MATCH(orderHistory[status],$D$11,0)),MATCH(ROW(orderHistory[customer]),ROW(orderHistory[customer])),""),ROWS($A$15:A51)+$B$3)),INDEX(orderHistory[order_date],SMALL(IF(ISNUMBER(MATCH(orderHistory[status],$D$11,0)*MATCH(orderHistory[order_type],$D$13,0)),MATCH(ROW(orderHistory[customer]),ROW(orderHistory[customer])),""),ROWS($A$15:A51)+$B$3)))),IF($D$11="",IF($D$13="",INDEX(orderHistory[order_date],SMALL(IF(ISNUMBER(MATCH(orderHistory[customer],$D$9,0)),MATCH(ROW(orderHistory[customer]),ROW(orderHistory[customer])),""),ROWS($A$15:A51)+$B$3)),INDEX(orderHistory[order_date],SMALL(IF(ISNUMBER(MATCH(orderHistory[customer],$D$9,0)*MATCH(orderHistory[order_type],$D$13,0)),MATCH(ROW(orderHistory[customer]),ROW(orderHistory[customer])),""),ROWS($A$15:A51)+$B$3))),IF($D$13="",INDEX(orderHistory[order_date],SMALL(IF(ISNUMBER(MATCH(orderHistory[customer],$D$9,0)*MATCH(orderHistory[status],$D$11,0)),MATCH(ROW(orderHistory[customer]),ROW(orderHistory[customer])),""),ROWS($A$15:A51)+$B$3)),INDEX(orderHistory[order_date],SMALL(IF(ISNUMBER(MATCH(orderHistory[customer],$D$9,0)*MATCH(orderHistory[status],$D$11,0)*MATCH(orderHistory[order_type],$D$13,0)),MATCH(ROW(orderHistory[customer]),ROW(orderHistory[customer])),""),ROWS($A$15:A51)+$B$3))))),"")</f>
        <v/>
      </c>
      <c r="P46" s="379" t="str">
        <f t="array" ref="P46">IF(IFERROR(IF($D$9="",IF($D$11="",IF($D$13="",INDEX(orderHistory[invoice_no],SMALL(MATCH(ROW(orderHistory[customer]),ROW(orderHistory[customer])),ROWS($A$15:A51)+$B$3)),INDEX(orderHistory[invoice_no],SMALL(IF(ISNUMBER(MATCH(orderHistory[order_type],$D$13,0)),MATCH(ROW(orderHistory[customer]),ROW(orderHistory[customer])),""),ROWS($A$15:A51)+$B$3))),IF($D$13="",INDEX(orderHistory[invoice_no],SMALL(IF(ISNUMBER(MATCH(orderHistory[status],$D$11,0)),MATCH(ROW(orderHistory[customer]),ROW(orderHistory[customer])),""),ROWS($A$15:A51)+$B$3)),INDEX(orderHistory[invoice_no],SMALL(IF(ISNUMBER(MATCH(orderHistory[status],$D$11,0)*MATCH(orderHistory[order_type],$D$13,0)),MATCH(ROW(orderHistory[customer]),ROW(orderHistory[customer])),""),ROWS($A$15:A51)+$B$3)))),IF($D$11="",IF($D$13="",INDEX(orderHistory[invoice_no],SMALL(IF(ISNUMBER(MATCH(orderHistory[customer],$D$9,0)),MATCH(ROW(orderHistory[customer]),ROW(orderHistory[customer])),""),ROWS($A$15:A51)+$B$3)),INDEX(orderHistory[invoice_no],SMALL(IF(ISNUMBER(MATCH(orderHistory[customer],$D$9,0)*MATCH(orderHistory[order_type],$D$13,0)),MATCH(ROW(orderHistory[customer]),ROW(orderHistory[customer])),""),ROWS($A$15:A51)+$B$3))),IF($D$13="",INDEX(orderHistory[invoice_no],SMALL(IF(ISNUMBER(MATCH(orderHistory[customer],$D$9,0)*MATCH(orderHistory[status],$D$11,0)),MATCH(ROW(orderHistory[customer]),ROW(orderHistory[customer])),""),ROWS($A$15:A51)+$B$3)),INDEX(orderHistory[invoice_no],SMALL(IF(ISNUMBER(MATCH(orderHistory[customer],$D$9,0)*MATCH(orderHistory[status],$D$11,0)*MATCH(orderHistory[order_type],$D$13,0)),MATCH(ROW(orderHistory[customer]),ROW(orderHistory[customer])),""),ROWS($A$15:A51)+$B$3))))),"")=0,"",IFERROR(IF($D$9="",IF($D$11="",IF($D$13="",INDEX(orderHistory[invoice_no],SMALL(MATCH(ROW(orderHistory[customer]),ROW(orderHistory[customer])),ROWS($A$15:A51)+$B$3)),INDEX(orderHistory[invoice_no],SMALL(IF(ISNUMBER(MATCH(orderHistory[order_type],$D$13,0)),MATCH(ROW(orderHistory[customer]),ROW(orderHistory[customer])),""),ROWS($A$15:A51)+$B$3))),IF($D$13="",INDEX(orderHistory[invoice_no],SMALL(IF(ISNUMBER(MATCH(orderHistory[status],$D$11,0)),MATCH(ROW(orderHistory[customer]),ROW(orderHistory[customer])),""),ROWS($A$15:A51)+$B$3)),INDEX(orderHistory[invoice_no],SMALL(IF(ISNUMBER(MATCH(orderHistory[status],$D$11,0)*MATCH(orderHistory[order_type],$D$13,0)),MATCH(ROW(orderHistory[customer]),ROW(orderHistory[customer])),""),ROWS($A$15:A51)+$B$3)))),IF($D$11="",IF($D$13="",INDEX(orderHistory[invoice_no],SMALL(IF(ISNUMBER(MATCH(orderHistory[customer],$D$9,0)),MATCH(ROW(orderHistory[customer]),ROW(orderHistory[customer])),""),ROWS($A$15:A51)+$B$3)),INDEX(orderHistory[invoice_no],SMALL(IF(ISNUMBER(MATCH(orderHistory[customer],$D$9,0)*MATCH(orderHistory[order_type],$D$13,0)),MATCH(ROW(orderHistory[customer]),ROW(orderHistory[customer])),""),ROWS($A$15:A51)+$B$3))),IF($D$13="",INDEX(orderHistory[invoice_no],SMALL(IF(ISNUMBER(MATCH(orderHistory[customer],$D$9,0)*MATCH(orderHistory[status],$D$11,0)),MATCH(ROW(orderHistory[customer]),ROW(orderHistory[customer])),""),ROWS($A$15:A51)+$B$3)),INDEX(orderHistory[invoice_no],SMALL(IF(ISNUMBER(MATCH(orderHistory[customer],$D$9,0)*MATCH(orderHistory[status],$D$11,0)*MATCH(orderHistory[order_type],$D$13,0)),MATCH(ROW(orderHistory[customer]),ROW(orderHistory[customer])),""),ROWS($A$15:A51)+$B$3))))),""))</f>
        <v/>
      </c>
      <c r="Q46" s="381" t="str">
        <f t="array" ref="Q46">IF(IFERROR(IF($D$9="",IF($D$11="",IF($D$13="",INDEX(orderHistory[invoice_date],SMALL(MATCH(ROW(orderHistory[customer]),ROW(orderHistory[customer])),ROWS($A$15:A51)+$B$3)),INDEX(orderHistory[invoice_date],SMALL(IF(ISNUMBER(MATCH(orderHistory[order_type],$D$13,0)),MATCH(ROW(orderHistory[customer]),ROW(orderHistory[customer])),""),ROWS($A$15:A51)+$B$3))),IF($D$13="",INDEX(orderHistory[invoice_date],SMALL(IF(ISNUMBER(MATCH(orderHistory[status],$D$11,0)),MATCH(ROW(orderHistory[customer]),ROW(orderHistory[customer])),""),ROWS($A$15:A51)+$B$3)),INDEX(orderHistory[invoice_date],SMALL(IF(ISNUMBER(MATCH(orderHistory[status],$D$11,0)*MATCH(orderHistory[order_type],$D$13,0)),MATCH(ROW(orderHistory[customer]),ROW(orderHistory[customer])),""),ROWS($A$15:A51)+$B$3)))),IF($D$11="",IF($D$13="",INDEX(orderHistory[invoice_date],SMALL(IF(ISNUMBER(MATCH(orderHistory[customer],$D$9,0)),MATCH(ROW(orderHistory[customer]),ROW(orderHistory[customer])),""),ROWS($A$15:A51)+$B$3)),INDEX(orderHistory[invoice_date],SMALL(IF(ISNUMBER(MATCH(orderHistory[customer],$D$9,0)*MATCH(orderHistory[order_type],$D$13,0)),MATCH(ROW(orderHistory[customer]),ROW(orderHistory[customer])),""),ROWS($A$15:A51)+$B$3))),IF($D$13="",INDEX(orderHistory[invoice_date],SMALL(IF(ISNUMBER(MATCH(orderHistory[customer],$D$9,0)*MATCH(orderHistory[status],$D$11,0)),MATCH(ROW(orderHistory[customer]),ROW(orderHistory[customer])),""),ROWS($A$15:A51)+$B$3)),INDEX(orderHistory[invoice_date],SMALL(IF(ISNUMBER(MATCH(orderHistory[customer],$D$9,0)*MATCH(orderHistory[status],$D$11,0)*MATCH(orderHistory[order_type],$D$13,0)),MATCH(ROW(orderHistory[customer]),ROW(orderHistory[customer])),""),ROWS($A$15:A51)+$B$3))))),"")=0,"",IFERROR(IF($D$9="",IF($D$11="",IF($D$13="",INDEX(orderHistory[invoice_date],SMALL(MATCH(ROW(orderHistory[customer]),ROW(orderHistory[customer])),ROWS($A$15:A51)+$B$3)),INDEX(orderHistory[invoice_date],SMALL(IF(ISNUMBER(MATCH(orderHistory[order_type],$D$13,0)),MATCH(ROW(orderHistory[customer]),ROW(orderHistory[customer])),""),ROWS($A$15:A51)+$B$3))),IF($D$13="",INDEX(orderHistory[invoice_date],SMALL(IF(ISNUMBER(MATCH(orderHistory[status],$D$11,0)),MATCH(ROW(orderHistory[customer]),ROW(orderHistory[customer])),""),ROWS($A$15:A51)+$B$3)),INDEX(orderHistory[invoice_date],SMALL(IF(ISNUMBER(MATCH(orderHistory[status],$D$11,0)*MATCH(orderHistory[order_type],$D$13,0)),MATCH(ROW(orderHistory[customer]),ROW(orderHistory[customer])),""),ROWS($A$15:A51)+$B$3)))),IF($D$11="",IF($D$13="",INDEX(orderHistory[invoice_date],SMALL(IF(ISNUMBER(MATCH(orderHistory[customer],$D$9,0)),MATCH(ROW(orderHistory[customer]),ROW(orderHistory[customer])),""),ROWS($A$15:A51)+$B$3)),INDEX(orderHistory[invoice_date],SMALL(IF(ISNUMBER(MATCH(orderHistory[customer],$D$9,0)*MATCH(orderHistory[order_type],$D$13,0)),MATCH(ROW(orderHistory[customer]),ROW(orderHistory[customer])),""),ROWS($A$15:A51)+$B$3))),IF($D$13="",INDEX(orderHistory[invoice_date],SMALL(IF(ISNUMBER(MATCH(orderHistory[customer],$D$9,0)*MATCH(orderHistory[status],$D$11,0)),MATCH(ROW(orderHistory[customer]),ROW(orderHistory[customer])),""),ROWS($A$15:A51)+$B$3)),INDEX(orderHistory[invoice_date],SMALL(IF(ISNUMBER(MATCH(orderHistory[customer],$D$9,0)*MATCH(orderHistory[status],$D$11,0)*MATCH(orderHistory[order_type],$D$13,0)),MATCH(ROW(orderHistory[customer]),ROW(orderHistory[customer])),""),ROWS($A$15:A51)+$B$3))))),""))</f>
        <v/>
      </c>
      <c r="R46" s="377" t="str">
        <f t="array" ref="R46">IFERROR(IF($D$9="",IF($D$11="",IF($D$13="",INDEX(orderHistory[inv_amount],SMALL(MATCH(ROW(orderHistory[customer]),ROW(orderHistory[customer])),ROWS($A$15:A51)+$B$3)),INDEX(orderHistory[inv_amount],SMALL(IF(ISNUMBER(MATCH(orderHistory[order_type],$D$13,0)),MATCH(ROW(orderHistory[customer]),ROW(orderHistory[customer])),""),ROWS($A$15:A51)+$B$3))),IF($D$13="",INDEX(orderHistory[inv_amount],SMALL(IF(ISNUMBER(MATCH(orderHistory[status],$D$11,0)),MATCH(ROW(orderHistory[customer]),ROW(orderHistory[customer])),""),ROWS($A$15:A51)+$B$3)),INDEX(orderHistory[inv_amount],SMALL(IF(ISNUMBER(MATCH(orderHistory[status],$D$11,0)*MATCH(orderHistory[order_type],$D$13,0)),MATCH(ROW(orderHistory[customer]),ROW(orderHistory[customer])),""),ROWS($A$15:A51)+$B$3)))),IF($D$11="",IF($D$13="",INDEX(orderHistory[inv_amount],SMALL(IF(ISNUMBER(MATCH(orderHistory[customer],$D$9,0)),MATCH(ROW(orderHistory[customer]),ROW(orderHistory[customer])),""),ROWS($A$15:A51)+$B$3)),INDEX(orderHistory[inv_amount],SMALL(IF(ISNUMBER(MATCH(orderHistory[customer],$D$9,0)*MATCH(orderHistory[order_type],$D$13,0)),MATCH(ROW(orderHistory[customer]),ROW(orderHistory[customer])),""),ROWS($A$15:A51)+$B$3))),IF($D$13="",INDEX(orderHistory[inv_amount],SMALL(IF(ISNUMBER(MATCH(orderHistory[customer],$D$9,0)*MATCH(orderHistory[status],$D$11,0)),MATCH(ROW(orderHistory[customer]),ROW(orderHistory[customer])),""),ROWS($A$15:A51)+$B$3)),INDEX(orderHistory[inv_amount],SMALL(IF(ISNUMBER(MATCH(orderHistory[customer],$D$9,0)*MATCH(orderHistory[status],$D$11,0)*MATCH(orderHistory[order_type],$D$13,0)),MATCH(ROW(orderHistory[customer]),ROW(orderHistory[customer])),""),ROWS($A$15:A51)+$B$3))))),"")</f>
        <v/>
      </c>
      <c r="S46" s="383" t="str">
        <f t="shared" si="1"/>
        <v/>
      </c>
      <c r="T46" s="385" t="str">
        <f t="array" ref="T46">IFERROR(IF($D$9="",IF($D$11="",IF($D$13="",INDEX(orderHistory[payed],SMALL(MATCH(ROW(orderHistory[customer]),ROW(orderHistory[customer])),ROWS($A$15:A51)+$B$3)),INDEX(orderHistory[payed],SMALL(IF(ISNUMBER(MATCH(orderHistory[order_type],$D$13,0)),MATCH(ROW(orderHistory[customer]),ROW(orderHistory[customer])),""),ROWS($A$15:A51)+$B$3))),IF($D$13="",INDEX(orderHistory[payed],SMALL(IF(ISNUMBER(MATCH(orderHistory[status],$D$11,0)),MATCH(ROW(orderHistory[customer]),ROW(orderHistory[customer])),""),ROWS($A$15:A51)+$B$3)),INDEX(orderHistory[payed],SMALL(IF(ISNUMBER(MATCH(orderHistory[status],$D$11,0)*MATCH(orderHistory[order_type],$D$13,0)),MATCH(ROW(orderHistory[customer]),ROW(orderHistory[customer])),""),ROWS($A$15:A51)+$B$3)))),IF($D$11="",IF($D$13="",INDEX(orderHistory[payed],SMALL(IF(ISNUMBER(MATCH(orderHistory[customer],$D$9,0)),MATCH(ROW(orderHistory[customer]),ROW(orderHistory[customer])),""),ROWS($A$15:A51)+$B$3)),INDEX(orderHistory[payed],SMALL(IF(ISNUMBER(MATCH(orderHistory[customer],$D$9,0)*MATCH(orderHistory[order_type],$D$13,0)),MATCH(ROW(orderHistory[customer]),ROW(orderHistory[customer])),""),ROWS($A$15:A51)+$B$3))),IF($D$13="",INDEX(orderHistory[payed],SMALL(IF(ISNUMBER(MATCH(orderHistory[customer],$D$9,0)*MATCH(orderHistory[status],$D$11,0)),MATCH(ROW(orderHistory[customer]),ROW(orderHistory[customer])),""),ROWS($A$15:A51)+$B$3)),INDEX(orderHistory[payed],SMALL(IF(ISNUMBER(MATCH(orderHistory[customer],$D$9,0)*MATCH(orderHistory[status],$D$11,0)*MATCH(orderHistory[order_type],$D$13,0)),MATCH(ROW(orderHistory[customer]),ROW(orderHistory[customer])),""),ROWS($A$15:A51)+$B$3))))),"")</f>
        <v/>
      </c>
      <c r="U46" s="386" t="str">
        <f t="array" ref="U46">IFERROR(IF($D$9="",IF($D$11="",IF($D$13="",INDEX(orderHistory[shipping_method],SMALL(MATCH(ROW(orderHistory[customer]),ROW(orderHistory[customer])),ROWS($A$15:A51)+$B$3)),INDEX(orderHistory[shipping_method],SMALL(IF(ISNUMBER(MATCH(orderHistory[order_type],$D$13,0)),MATCH(ROW(orderHistory[customer]),ROW(orderHistory[customer])),""),ROWS($A$15:A51)+$B$3))),IF($D$13="",INDEX(orderHistory[shipping_method],SMALL(IF(ISNUMBER(MATCH(orderHistory[status],$D$11,0)),MATCH(ROW(orderHistory[customer]),ROW(orderHistory[customer])),""),ROWS($A$15:A51)+$B$3)),INDEX(orderHistory[shipping_method],SMALL(IF(ISNUMBER(MATCH(orderHistory[status],$D$11,0)*MATCH(orderHistory[order_type],$D$13,0)),MATCH(ROW(orderHistory[customer]),ROW(orderHistory[customer])),""),ROWS($A$15:A51)+$B$3)))),IF($D$11="",IF($D$13="",INDEX(orderHistory[shipping_method],SMALL(IF(ISNUMBER(MATCH(orderHistory[customer],$D$9,0)),MATCH(ROW(orderHistory[customer]),ROW(orderHistory[customer])),""),ROWS($A$15:A51)+$B$3)),INDEX(orderHistory[shipping_method],SMALL(IF(ISNUMBER(MATCH(orderHistory[customer],$D$9,0)*MATCH(orderHistory[order_type],$D$13,0)),MATCH(ROW(orderHistory[customer]),ROW(orderHistory[customer])),""),ROWS($A$15:A51)+$B$3))),IF($D$13="",INDEX(orderHistory[shipping_method],SMALL(IF(ISNUMBER(MATCH(orderHistory[customer],$D$9,0)*MATCH(orderHistory[status],$D$11,0)),MATCH(ROW(orderHistory[customer]),ROW(orderHistory[customer])),""),ROWS($A$15:A51)+$B$3)),INDEX(orderHistory[shipping_method],SMALL(IF(ISNUMBER(MATCH(orderHistory[customer],$D$9,0)*MATCH(orderHistory[status],$D$11,0)*MATCH(orderHistory[order_type],$D$13,0)),MATCH(ROW(orderHistory[customer]),ROW(orderHistory[customer])),""),ROWS($A$15:A51)+$B$3))))),"")</f>
        <v/>
      </c>
      <c r="V46" s="387" t="str">
        <f t="array" ref="V46">IFERROR(IF($D$9="",IF($D$11="",IF($D$13="",INDEX(orderHistory[status],SMALL(MATCH(ROW(orderHistory[customer]),ROW(orderHistory[customer])),ROWS($A$15:A51)+$B$3)),INDEX(orderHistory[status],SMALL(IF(ISNUMBER(MATCH(orderHistory[order_type],$D$13,0)),MATCH(ROW(orderHistory[customer]),ROW(orderHistory[customer])),""),ROWS($A$15:A51)+$B$3))),IF($D$13="",INDEX(orderHistory[status],SMALL(IF(ISNUMBER(MATCH(orderHistory[status],$D$11,0)),MATCH(ROW(orderHistory[customer]),ROW(orderHistory[customer])),""),ROWS($A$15:A51)+$B$3)),INDEX(orderHistory[status],SMALL(IF(ISNUMBER(MATCH(orderHistory[status],$D$11,0)*MATCH(orderHistory[order_type],$D$13,0)),MATCH(ROW(orderHistory[customer]),ROW(orderHistory[customer])),""),ROWS($A$15:A51)+$B$3)))),IF($D$11="",IF($D$13="",INDEX(orderHistory[status],SMALL(IF(ISNUMBER(MATCH(orderHistory[customer],$D$9,0)),MATCH(ROW(orderHistory[customer]),ROW(orderHistory[customer])),""),ROWS($A$15:A51)+$B$3)),INDEX(orderHistory[status],SMALL(IF(ISNUMBER(MATCH(orderHistory[customer],$D$9,0)*MATCH(orderHistory[order_type],$D$13,0)),MATCH(ROW(orderHistory[customer]),ROW(orderHistory[customer])),""),ROWS($A$15:A51)+$B$3))),IF($D$13="",INDEX(orderHistory[status],SMALL(IF(ISNUMBER(MATCH(orderHistory[customer],$D$9,0)*MATCH(orderHistory[status],$D$11,0)),MATCH(ROW(orderHistory[customer]),ROW(orderHistory[customer])),""),ROWS($A$15:A51)+$B$3)),INDEX(orderHistory[status],SMALL(IF(ISNUMBER(MATCH(orderHistory[customer],$D$9,0)*MATCH(orderHistory[status],$D$11,0)*MATCH(orderHistory[order_type],$D$13,0)),MATCH(ROW(orderHistory[customer]),ROW(orderHistory[customer])),""),ROWS($A$15:A51)+$B$3))))),"")</f>
        <v/>
      </c>
      <c r="BK46" s="146"/>
      <c r="BL46" s="147"/>
      <c r="BM46" s="148"/>
      <c r="BN46" s="147"/>
      <c r="BO46" s="148"/>
      <c r="BZ46" s="295"/>
      <c r="CA46" s="270" t="str">
        <f>IF(BZ46="","",VLOOKUP(BZ46,bhpc_data[],7,FALSE))</f>
        <v/>
      </c>
      <c r="CB46" s="296"/>
      <c r="CC46" s="642"/>
      <c r="CD46" s="297"/>
      <c r="CE46" s="645"/>
      <c r="CF46" s="298"/>
      <c r="CG46" s="301" t="str">
        <f>IFERROR(ROUNDUP(CB46/VLOOKUP(BZ46,bhpc_data[],9,FALSE),0)+ROUNDUP(CD46/VLOOKUP(BZ46,bhpc_data[],9,FALSE),0),"")</f>
        <v/>
      </c>
      <c r="CH46" s="302" t="str">
        <f>IFERROR(ROUNDUP(CD46/VLOOKUP(BZ46,bhpc_data[],9,FALSE),0),"")</f>
        <v/>
      </c>
      <c r="CI46" s="302" t="str">
        <f>IFERROR(ROUNDUP(CF46/VLOOKUP(BZ46,bhpc_data[],9,FALSE),0),"")</f>
        <v/>
      </c>
      <c r="CJ46" s="302" t="str">
        <f>IFERROR(((CB46+CD46+CF46)/VLOOKUP(BZ46,bhpc_data[],9,FALSE))*VLOOKUP(BZ46,bhpc_data[],17,FALSE),"")</f>
        <v/>
      </c>
      <c r="CK46" s="302" t="str">
        <f>IFERROR(((CB46+CD46+CF46)/VLOOKUP(BZ46,bhpc_data[],9,FALSE))*VLOOKUP(BZ46,bhpc_data[],18,FALSE),"")</f>
        <v/>
      </c>
      <c r="CL46" s="346" t="str">
        <f>IFERROR((CB46+CD46)/VLOOKUP(BZ46,bhpc_data[],9,FALSE)*VLOOKUP(BZ46,bhpc_data[],14,FALSE)*VLOOKUP(BZ46,bhpc_data[],15,FALSE)*VLOOKUP(BZ46,bhpc_data[],16,FALSE)/1000000000,"")</f>
        <v/>
      </c>
      <c r="CM46" s="409" t="str">
        <f>IFERROR(VLOOKUP(BZ46,bhpc_data[],2,FALSE),"")</f>
        <v/>
      </c>
      <c r="CN46" s="409" t="str">
        <f>IFERROR(VLOOKUP(BZ46,bhpc_data[],19,FALSE),"")</f>
        <v/>
      </c>
      <c r="CO46" s="653" t="str">
        <f>IFERROR(VLOOKUP(BZ46,bhpc_data[],6,FALSE),"")</f>
        <v/>
      </c>
      <c r="CP46" s="654" t="str">
        <f>IFERROR(VLOOKUP(BZ46,inventory[],4,FALSE),"")</f>
        <v/>
      </c>
      <c r="CQ46" s="651" t="str">
        <f>IFERROR(IF(BZ46="","",IF($BX$15="SALE",VLOOKUP(BZ46,inventory[],5,FALSE),IF($BX$15="SAMPLING",VLOOKUP(BZ46,inventory[],5,FALSE),""))),"")</f>
        <v/>
      </c>
      <c r="CR46" s="652" t="str">
        <f>IFERROR(IF(BZ46="","",(CB46+CD46+CF46)*CQ46),"")</f>
        <v/>
      </c>
      <c r="CS46" s="557" t="str">
        <f>IF(BZ46="","",CB46*CC46+CD46*CE46)</f>
        <v/>
      </c>
      <c r="CU46" s="607"/>
      <c r="CV46" s="609" t="s">
        <v>1178</v>
      </c>
      <c r="CW46" s="411"/>
      <c r="CX46" s="411"/>
      <c r="CY46" s="411"/>
      <c r="CZ46" s="608"/>
      <c r="DA46" s="540" t="str">
        <f>IFERROR(VLOOKUP(BZ46,bhpc_data[],22,FALSE),"")</f>
        <v/>
      </c>
      <c r="EE46" s="454" t="s">
        <v>117</v>
      </c>
      <c r="EF46" s="447" t="str">
        <f>VLOOKUP(EE46,bhpc_data[],7,FALSE)</f>
        <v>BHPC SPORT MEN 2 EDT 100ML</v>
      </c>
      <c r="EG46" s="555">
        <f>IFERROR(VLOOKUP(EE46,inventory[],4,FALSE),0)</f>
        <v>9822</v>
      </c>
      <c r="EH46" s="555">
        <f>IFERROR(VLOOKUP(warehouse[[#This Row],[SKU]],$EQ$10:$ES$38,3,FALSE),0)</f>
        <v>0</v>
      </c>
      <c r="EI46" s="555">
        <f>IFERROR(VLOOKUP(warehouse[[#This Row],[SKU]],$EM$10:$EO$61,3,FALSE),0)</f>
        <v>3620</v>
      </c>
      <c r="EJ46" s="555">
        <f>warehouse[[#This Row],[T-1]]+warehouse[[#This Row],[SUPPLY]]-warehouse[[#This Row],[SALE + SAMPLING]]</f>
        <v>6202</v>
      </c>
      <c r="EK46" s="449"/>
      <c r="EM46" s="74" t="s">
        <v>136</v>
      </c>
      <c r="EN46" s="74" t="s">
        <v>137</v>
      </c>
      <c r="EO46" s="431">
        <v>1430</v>
      </c>
    </row>
    <row r="47" spans="6:149" ht="15" customHeight="1">
      <c r="J47" s="17"/>
      <c r="K47" s="17"/>
      <c r="L47" s="274" t="str">
        <f t="array" ref="L47">IFERROR(IF($D$9="",IF($D$11="",IF($D$13="",INDEX(orderHistory[customer],SMALL(MATCH(ROW(orderHistory[customer]),ROW(orderHistory[customer])),ROWS($A$15:A52)+$B$3)),INDEX(orderHistory[customer],SMALL(IF(ISNUMBER(MATCH(orderHistory[order_type],$D$13,0)),MATCH(ROW(orderHistory[customer]),ROW(orderHistory[customer])),""),ROWS($A$15:A52)+$B$3))),IF($D$13="",INDEX(orderHistory[customer],SMALL(IF(ISNUMBER(MATCH(orderHistory[status],$D$11,0)),MATCH(ROW(orderHistory[customer]),ROW(orderHistory[customer])),""),ROWS($A$15:A52)+$B$3)),INDEX(orderHistory[customer],SMALL(IF(ISNUMBER(MATCH(orderHistory[status],$D$11,0)*MATCH(orderHistory[order_type],$D$13,0)),MATCH(ROW(orderHistory[customer]),ROW(orderHistory[customer])),""),ROWS($A$15:A52)+$B$3)))),IF($D$11="",IF($D$13="",INDEX(orderHistory[customer],SMALL(IF(ISNUMBER(MATCH(orderHistory[customer],$D$9,0)),MATCH(ROW(orderHistory[customer]),ROW(orderHistory[customer])),""),ROWS($A$15:A52)+$B$3)),INDEX(orderHistory[customer],SMALL(IF(ISNUMBER(MATCH(orderHistory[customer],$D$9,0)*MATCH(orderHistory[order_type],$D$13,0)),MATCH(ROW(orderHistory[customer]),ROW(orderHistory[customer])),""),ROWS($A$15:A52)+$B$3))),IF($D$13="",INDEX(orderHistory[customer],SMALL(IF(ISNUMBER(MATCH(orderHistory[customer],$D$9,0)*MATCH(orderHistory[status],$D$11,0)),MATCH(ROW(orderHistory[customer]),ROW(orderHistory[customer])),""),ROWS($A$15:A52)+$B$3)),INDEX(orderHistory[customer],SMALL(IF(ISNUMBER(MATCH(orderHistory[customer],$D$9,0)*MATCH(orderHistory[status],$D$11,0)*MATCH(orderHistory[order_type],$D$13,0)),MATCH(ROW(orderHistory[customer]),ROW(orderHistory[customer])),""),ROWS($A$15:A52)+$B$3))))),"")</f>
        <v/>
      </c>
      <c r="M47" s="391" t="str">
        <f t="array" ref="M47">IFERROR(IF($D$9="",IF($D$11="",IF($D$13="",INDEX(orderHistory[order_no],SMALL(MATCH(ROW(orderHistory[customer]),ROW(orderHistory[customer])),ROWS($A$15:A52)+$B$3)),INDEX(orderHistory[order_no],SMALL(IF(ISNUMBER(MATCH(orderHistory[order_type],$D$13,0)),MATCH(ROW(orderHistory[customer]),ROW(orderHistory[customer])),""),ROWS($A$15:A52)+$B$3))),IF($D$13="",INDEX(orderHistory[order_no],SMALL(IF(ISNUMBER(MATCH(orderHistory[status],$D$11,0)),MATCH(ROW(orderHistory[customer]),ROW(orderHistory[customer])),""),ROWS($A$15:A52)+$B$3)),INDEX(orderHistory[order_no],SMALL(IF(ISNUMBER(MATCH(orderHistory[status],$D$11,0)*MATCH(orderHistory[order_type],$D$13,0)),MATCH(ROW(orderHistory[customer]),ROW(orderHistory[customer])),""),ROWS($A$15:A52)+$B$3)))),IF($D$11="",IF($D$13="",INDEX(orderHistory[order_no],SMALL(IF(ISNUMBER(MATCH(orderHistory[customer],$D$9,0)),MATCH(ROW(orderHistory[customer]),ROW(orderHistory[customer])),""),ROWS($A$15:A52)+$B$3)),INDEX(orderHistory[order_no],SMALL(IF(ISNUMBER(MATCH(orderHistory[customer],$D$9,0)*MATCH(orderHistory[order_type],$D$13,0)),MATCH(ROW(orderHistory[customer]),ROW(orderHistory[customer])),""),ROWS($A$15:A52)+$B$3))),IF($D$13="",INDEX(orderHistory[order_no],SMALL(IF(ISNUMBER(MATCH(orderHistory[customer],$D$9,0)*MATCH(orderHistory[status],$D$11,0)),MATCH(ROW(orderHistory[customer]),ROW(orderHistory[customer])),""),ROWS($A$15:A52)+$B$3)),INDEX(orderHistory[order_no],SMALL(IF(ISNUMBER(MATCH(orderHistory[customer],$D$9,0)*MATCH(orderHistory[status],$D$11,0)*MATCH(orderHistory[order_type],$D$13,0)),MATCH(ROW(orderHistory[customer]),ROW(orderHistory[customer])),""),ROWS($A$15:A52)+$B$3))))),"")</f>
        <v/>
      </c>
      <c r="N47" s="386" t="str">
        <f t="array" ref="N47">IFERROR(IF($D$9="",IF($D$11="",IF($D$13="",INDEX(orderHistory[order_type],SMALL(MATCH(ROW(orderHistory[customer]),ROW(orderHistory[customer])),ROWS($A$15:A52)+$B$3)),INDEX(orderHistory[order_type],SMALL(IF(ISNUMBER(MATCH(orderHistory[order_type],$D$13,0)),MATCH(ROW(orderHistory[customer]),ROW(orderHistory[customer])),""),ROWS($A$15:A52)+$B$3))),IF($D$13="",INDEX(orderHistory[order_type],SMALL(IF(ISNUMBER(MATCH(orderHistory[status],$D$11,0)),MATCH(ROW(orderHistory[customer]),ROW(orderHistory[customer])),""),ROWS($A$15:A52)+$B$3)),INDEX(orderHistory[order_type],SMALL(IF(ISNUMBER(MATCH(orderHistory[status],$D$11,0)*MATCH(orderHistory[order_type],$D$13,0)),MATCH(ROW(orderHistory[customer]),ROW(orderHistory[customer])),""),ROWS($A$15:A52)+$B$3)))),IF($D$11="",IF($D$13="",INDEX(orderHistory[order_type],SMALL(IF(ISNUMBER(MATCH(orderHistory[customer],$D$9,0)),MATCH(ROW(orderHistory[customer]),ROW(orderHistory[customer])),""),ROWS($A$15:A52)+$B$3)),INDEX(orderHistory[order_type],SMALL(IF(ISNUMBER(MATCH(orderHistory[customer],$D$9,0)*MATCH(orderHistory[order_type],$D$13,0)),MATCH(ROW(orderHistory[customer]),ROW(orderHistory[customer])),""),ROWS($A$15:A52)+$B$3))),IF($D$13="",INDEX(orderHistory[order_type],SMALL(IF(ISNUMBER(MATCH(orderHistory[customer],$D$9,0)*MATCH(orderHistory[status],$D$11,0)),MATCH(ROW(orderHistory[customer]),ROW(orderHistory[customer])),""),ROWS($A$15:A52)+$B$3)),INDEX(orderHistory[order_type],SMALL(IF(ISNUMBER(MATCH(orderHistory[customer],$D$9,0)*MATCH(orderHistory[status],$D$11,0)*MATCH(orderHistory[order_type],$D$13,0)),MATCH(ROW(orderHistory[customer]),ROW(orderHistory[customer])),""),ROWS($A$15:A52)+$B$3))))),"")</f>
        <v/>
      </c>
      <c r="O47" s="275" t="str">
        <f t="array" ref="O47">IFERROR(IF($D$9="",IF($D$11="",IF($D$13="",INDEX(orderHistory[order_date],SMALL(MATCH(ROW(orderHistory[customer]),ROW(orderHistory[customer])),ROWS($A$15:A52)+$B$3)),INDEX(orderHistory[order_date],SMALL(IF(ISNUMBER(MATCH(orderHistory[order_type],$D$13,0)),MATCH(ROW(orderHistory[customer]),ROW(orderHistory[customer])),""),ROWS($A$15:A52)+$B$3))),IF($D$13="",INDEX(orderHistory[order_date],SMALL(IF(ISNUMBER(MATCH(orderHistory[status],$D$11,0)),MATCH(ROW(orderHistory[customer]),ROW(orderHistory[customer])),""),ROWS($A$15:A52)+$B$3)),INDEX(orderHistory[order_date],SMALL(IF(ISNUMBER(MATCH(orderHistory[status],$D$11,0)*MATCH(orderHistory[order_type],$D$13,0)),MATCH(ROW(orderHistory[customer]),ROW(orderHistory[customer])),""),ROWS($A$15:A52)+$B$3)))),IF($D$11="",IF($D$13="",INDEX(orderHistory[order_date],SMALL(IF(ISNUMBER(MATCH(orderHistory[customer],$D$9,0)),MATCH(ROW(orderHistory[customer]),ROW(orderHistory[customer])),""),ROWS($A$15:A52)+$B$3)),INDEX(orderHistory[order_date],SMALL(IF(ISNUMBER(MATCH(orderHistory[customer],$D$9,0)*MATCH(orderHistory[order_type],$D$13,0)),MATCH(ROW(orderHistory[customer]),ROW(orderHistory[customer])),""),ROWS($A$15:A52)+$B$3))),IF($D$13="",INDEX(orderHistory[order_date],SMALL(IF(ISNUMBER(MATCH(orderHistory[customer],$D$9,0)*MATCH(orderHistory[status],$D$11,0)),MATCH(ROW(orderHistory[customer]),ROW(orderHistory[customer])),""),ROWS($A$15:A52)+$B$3)),INDEX(orderHistory[order_date],SMALL(IF(ISNUMBER(MATCH(orderHistory[customer],$D$9,0)*MATCH(orderHistory[status],$D$11,0)*MATCH(orderHistory[order_type],$D$13,0)),MATCH(ROW(orderHistory[customer]),ROW(orderHistory[customer])),""),ROWS($A$15:A52)+$B$3))))),"")</f>
        <v/>
      </c>
      <c r="P47" s="379" t="str">
        <f t="array" ref="P47">IF(IFERROR(IF($D$9="",IF($D$11="",IF($D$13="",INDEX(orderHistory[invoice_no],SMALL(MATCH(ROW(orderHistory[customer]),ROW(orderHistory[customer])),ROWS($A$15:A52)+$B$3)),INDEX(orderHistory[invoice_no],SMALL(IF(ISNUMBER(MATCH(orderHistory[order_type],$D$13,0)),MATCH(ROW(orderHistory[customer]),ROW(orderHistory[customer])),""),ROWS($A$15:A52)+$B$3))),IF($D$13="",INDEX(orderHistory[invoice_no],SMALL(IF(ISNUMBER(MATCH(orderHistory[status],$D$11,0)),MATCH(ROW(orderHistory[customer]),ROW(orderHistory[customer])),""),ROWS($A$15:A52)+$B$3)),INDEX(orderHistory[invoice_no],SMALL(IF(ISNUMBER(MATCH(orderHistory[status],$D$11,0)*MATCH(orderHistory[order_type],$D$13,0)),MATCH(ROW(orderHistory[customer]),ROW(orderHistory[customer])),""),ROWS($A$15:A52)+$B$3)))),IF($D$11="",IF($D$13="",INDEX(orderHistory[invoice_no],SMALL(IF(ISNUMBER(MATCH(orderHistory[customer],$D$9,0)),MATCH(ROW(orderHistory[customer]),ROW(orderHistory[customer])),""),ROWS($A$15:A52)+$B$3)),INDEX(orderHistory[invoice_no],SMALL(IF(ISNUMBER(MATCH(orderHistory[customer],$D$9,0)*MATCH(orderHistory[order_type],$D$13,0)),MATCH(ROW(orderHistory[customer]),ROW(orderHistory[customer])),""),ROWS($A$15:A52)+$B$3))),IF($D$13="",INDEX(orderHistory[invoice_no],SMALL(IF(ISNUMBER(MATCH(orderHistory[customer],$D$9,0)*MATCH(orderHistory[status],$D$11,0)),MATCH(ROW(orderHistory[customer]),ROW(orderHistory[customer])),""),ROWS($A$15:A52)+$B$3)),INDEX(orderHistory[invoice_no],SMALL(IF(ISNUMBER(MATCH(orderHistory[customer],$D$9,0)*MATCH(orderHistory[status],$D$11,0)*MATCH(orderHistory[order_type],$D$13,0)),MATCH(ROW(orderHistory[customer]),ROW(orderHistory[customer])),""),ROWS($A$15:A52)+$B$3))))),"")=0,"",IFERROR(IF($D$9="",IF($D$11="",IF($D$13="",INDEX(orderHistory[invoice_no],SMALL(MATCH(ROW(orderHistory[customer]),ROW(orderHistory[customer])),ROWS($A$15:A52)+$B$3)),INDEX(orderHistory[invoice_no],SMALL(IF(ISNUMBER(MATCH(orderHistory[order_type],$D$13,0)),MATCH(ROW(orderHistory[customer]),ROW(orderHistory[customer])),""),ROWS($A$15:A52)+$B$3))),IF($D$13="",INDEX(orderHistory[invoice_no],SMALL(IF(ISNUMBER(MATCH(orderHistory[status],$D$11,0)),MATCH(ROW(orderHistory[customer]),ROW(orderHistory[customer])),""),ROWS($A$15:A52)+$B$3)),INDEX(orderHistory[invoice_no],SMALL(IF(ISNUMBER(MATCH(orderHistory[status],$D$11,0)*MATCH(orderHistory[order_type],$D$13,0)),MATCH(ROW(orderHistory[customer]),ROW(orderHistory[customer])),""),ROWS($A$15:A52)+$B$3)))),IF($D$11="",IF($D$13="",INDEX(orderHistory[invoice_no],SMALL(IF(ISNUMBER(MATCH(orderHistory[customer],$D$9,0)),MATCH(ROW(orderHistory[customer]),ROW(orderHistory[customer])),""),ROWS($A$15:A52)+$B$3)),INDEX(orderHistory[invoice_no],SMALL(IF(ISNUMBER(MATCH(orderHistory[customer],$D$9,0)*MATCH(orderHistory[order_type],$D$13,0)),MATCH(ROW(orderHistory[customer]),ROW(orderHistory[customer])),""),ROWS($A$15:A52)+$B$3))),IF($D$13="",INDEX(orderHistory[invoice_no],SMALL(IF(ISNUMBER(MATCH(orderHistory[customer],$D$9,0)*MATCH(orderHistory[status],$D$11,0)),MATCH(ROW(orderHistory[customer]),ROW(orderHistory[customer])),""),ROWS($A$15:A52)+$B$3)),INDEX(orderHistory[invoice_no],SMALL(IF(ISNUMBER(MATCH(orderHistory[customer],$D$9,0)*MATCH(orderHistory[status],$D$11,0)*MATCH(orderHistory[order_type],$D$13,0)),MATCH(ROW(orderHistory[customer]),ROW(orderHistory[customer])),""),ROWS($A$15:A52)+$B$3))))),""))</f>
        <v/>
      </c>
      <c r="Q47" s="381" t="str">
        <f t="array" ref="Q47">IF(IFERROR(IF($D$9="",IF($D$11="",IF($D$13="",INDEX(orderHistory[invoice_date],SMALL(MATCH(ROW(orderHistory[customer]),ROW(orderHistory[customer])),ROWS($A$15:A52)+$B$3)),INDEX(orderHistory[invoice_date],SMALL(IF(ISNUMBER(MATCH(orderHistory[order_type],$D$13,0)),MATCH(ROW(orderHistory[customer]),ROW(orderHistory[customer])),""),ROWS($A$15:A52)+$B$3))),IF($D$13="",INDEX(orderHistory[invoice_date],SMALL(IF(ISNUMBER(MATCH(orderHistory[status],$D$11,0)),MATCH(ROW(orderHistory[customer]),ROW(orderHistory[customer])),""),ROWS($A$15:A52)+$B$3)),INDEX(orderHistory[invoice_date],SMALL(IF(ISNUMBER(MATCH(orderHistory[status],$D$11,0)*MATCH(orderHistory[order_type],$D$13,0)),MATCH(ROW(orderHistory[customer]),ROW(orderHistory[customer])),""),ROWS($A$15:A52)+$B$3)))),IF($D$11="",IF($D$13="",INDEX(orderHistory[invoice_date],SMALL(IF(ISNUMBER(MATCH(orderHistory[customer],$D$9,0)),MATCH(ROW(orderHistory[customer]),ROW(orderHistory[customer])),""),ROWS($A$15:A52)+$B$3)),INDEX(orderHistory[invoice_date],SMALL(IF(ISNUMBER(MATCH(orderHistory[customer],$D$9,0)*MATCH(orderHistory[order_type],$D$13,0)),MATCH(ROW(orderHistory[customer]),ROW(orderHistory[customer])),""),ROWS($A$15:A52)+$B$3))),IF($D$13="",INDEX(orderHistory[invoice_date],SMALL(IF(ISNUMBER(MATCH(orderHistory[customer],$D$9,0)*MATCH(orderHistory[status],$D$11,0)),MATCH(ROW(orderHistory[customer]),ROW(orderHistory[customer])),""),ROWS($A$15:A52)+$B$3)),INDEX(orderHistory[invoice_date],SMALL(IF(ISNUMBER(MATCH(orderHistory[customer],$D$9,0)*MATCH(orderHistory[status],$D$11,0)*MATCH(orderHistory[order_type],$D$13,0)),MATCH(ROW(orderHistory[customer]),ROW(orderHistory[customer])),""),ROWS($A$15:A52)+$B$3))))),"")=0,"",IFERROR(IF($D$9="",IF($D$11="",IF($D$13="",INDEX(orderHistory[invoice_date],SMALL(MATCH(ROW(orderHistory[customer]),ROW(orderHistory[customer])),ROWS($A$15:A52)+$B$3)),INDEX(orderHistory[invoice_date],SMALL(IF(ISNUMBER(MATCH(orderHistory[order_type],$D$13,0)),MATCH(ROW(orderHistory[customer]),ROW(orderHistory[customer])),""),ROWS($A$15:A52)+$B$3))),IF($D$13="",INDEX(orderHistory[invoice_date],SMALL(IF(ISNUMBER(MATCH(orderHistory[status],$D$11,0)),MATCH(ROW(orderHistory[customer]),ROW(orderHistory[customer])),""),ROWS($A$15:A52)+$B$3)),INDEX(orderHistory[invoice_date],SMALL(IF(ISNUMBER(MATCH(orderHistory[status],$D$11,0)*MATCH(orderHistory[order_type],$D$13,0)),MATCH(ROW(orderHistory[customer]),ROW(orderHistory[customer])),""),ROWS($A$15:A52)+$B$3)))),IF($D$11="",IF($D$13="",INDEX(orderHistory[invoice_date],SMALL(IF(ISNUMBER(MATCH(orderHistory[customer],$D$9,0)),MATCH(ROW(orderHistory[customer]),ROW(orderHistory[customer])),""),ROWS($A$15:A52)+$B$3)),INDEX(orderHistory[invoice_date],SMALL(IF(ISNUMBER(MATCH(orderHistory[customer],$D$9,0)*MATCH(orderHistory[order_type],$D$13,0)),MATCH(ROW(orderHistory[customer]),ROW(orderHistory[customer])),""),ROWS($A$15:A52)+$B$3))),IF($D$13="",INDEX(orderHistory[invoice_date],SMALL(IF(ISNUMBER(MATCH(orderHistory[customer],$D$9,0)*MATCH(orderHistory[status],$D$11,0)),MATCH(ROW(orderHistory[customer]),ROW(orderHistory[customer])),""),ROWS($A$15:A52)+$B$3)),INDEX(orderHistory[invoice_date],SMALL(IF(ISNUMBER(MATCH(orderHistory[customer],$D$9,0)*MATCH(orderHistory[status],$D$11,0)*MATCH(orderHistory[order_type],$D$13,0)),MATCH(ROW(orderHistory[customer]),ROW(orderHistory[customer])),""),ROWS($A$15:A52)+$B$3))))),""))</f>
        <v/>
      </c>
      <c r="R47" s="377" t="str">
        <f t="array" ref="R47">IFERROR(IF($D$9="",IF($D$11="",IF($D$13="",INDEX(orderHistory[inv_amount],SMALL(MATCH(ROW(orderHistory[customer]),ROW(orderHistory[customer])),ROWS($A$15:A52)+$B$3)),INDEX(orderHistory[inv_amount],SMALL(IF(ISNUMBER(MATCH(orderHistory[order_type],$D$13,0)),MATCH(ROW(orderHistory[customer]),ROW(orderHistory[customer])),""),ROWS($A$15:A52)+$B$3))),IF($D$13="",INDEX(orderHistory[inv_amount],SMALL(IF(ISNUMBER(MATCH(orderHistory[status],$D$11,0)),MATCH(ROW(orderHistory[customer]),ROW(orderHistory[customer])),""),ROWS($A$15:A52)+$B$3)),INDEX(orderHistory[inv_amount],SMALL(IF(ISNUMBER(MATCH(orderHistory[status],$D$11,0)*MATCH(orderHistory[order_type],$D$13,0)),MATCH(ROW(orderHistory[customer]),ROW(orderHistory[customer])),""),ROWS($A$15:A52)+$B$3)))),IF($D$11="",IF($D$13="",INDEX(orderHistory[inv_amount],SMALL(IF(ISNUMBER(MATCH(orderHistory[customer],$D$9,0)),MATCH(ROW(orderHistory[customer]),ROW(orderHistory[customer])),""),ROWS($A$15:A52)+$B$3)),INDEX(orderHistory[inv_amount],SMALL(IF(ISNUMBER(MATCH(orderHistory[customer],$D$9,0)*MATCH(orderHistory[order_type],$D$13,0)),MATCH(ROW(orderHistory[customer]),ROW(orderHistory[customer])),""),ROWS($A$15:A52)+$B$3))),IF($D$13="",INDEX(orderHistory[inv_amount],SMALL(IF(ISNUMBER(MATCH(orderHistory[customer],$D$9,0)*MATCH(orderHistory[status],$D$11,0)),MATCH(ROW(orderHistory[customer]),ROW(orderHistory[customer])),""),ROWS($A$15:A52)+$B$3)),INDEX(orderHistory[inv_amount],SMALL(IF(ISNUMBER(MATCH(orderHistory[customer],$D$9,0)*MATCH(orderHistory[status],$D$11,0)*MATCH(orderHistory[order_type],$D$13,0)),MATCH(ROW(orderHistory[customer]),ROW(orderHistory[customer])),""),ROWS($A$15:A52)+$B$3))))),"")</f>
        <v/>
      </c>
      <c r="S47" s="383" t="str">
        <f t="shared" si="1"/>
        <v/>
      </c>
      <c r="T47" s="385" t="str">
        <f t="array" ref="T47">IFERROR(IF($D$9="",IF($D$11="",IF($D$13="",INDEX(orderHistory[payed],SMALL(MATCH(ROW(orderHistory[customer]),ROW(orderHistory[customer])),ROWS($A$15:A52)+$B$3)),INDEX(orderHistory[payed],SMALL(IF(ISNUMBER(MATCH(orderHistory[order_type],$D$13,0)),MATCH(ROW(orderHistory[customer]),ROW(orderHistory[customer])),""),ROWS($A$15:A52)+$B$3))),IF($D$13="",INDEX(orderHistory[payed],SMALL(IF(ISNUMBER(MATCH(orderHistory[status],$D$11,0)),MATCH(ROW(orderHistory[customer]),ROW(orderHistory[customer])),""),ROWS($A$15:A52)+$B$3)),INDEX(orderHistory[payed],SMALL(IF(ISNUMBER(MATCH(orderHistory[status],$D$11,0)*MATCH(orderHistory[order_type],$D$13,0)),MATCH(ROW(orderHistory[customer]),ROW(orderHistory[customer])),""),ROWS($A$15:A52)+$B$3)))),IF($D$11="",IF($D$13="",INDEX(orderHistory[payed],SMALL(IF(ISNUMBER(MATCH(orderHistory[customer],$D$9,0)),MATCH(ROW(orderHistory[customer]),ROW(orderHistory[customer])),""),ROWS($A$15:A52)+$B$3)),INDEX(orderHistory[payed],SMALL(IF(ISNUMBER(MATCH(orderHistory[customer],$D$9,0)*MATCH(orderHistory[order_type],$D$13,0)),MATCH(ROW(orderHistory[customer]),ROW(orderHistory[customer])),""),ROWS($A$15:A52)+$B$3))),IF($D$13="",INDEX(orderHistory[payed],SMALL(IF(ISNUMBER(MATCH(orderHistory[customer],$D$9,0)*MATCH(orderHistory[status],$D$11,0)),MATCH(ROW(orderHistory[customer]),ROW(orderHistory[customer])),""),ROWS($A$15:A52)+$B$3)),INDEX(orderHistory[payed],SMALL(IF(ISNUMBER(MATCH(orderHistory[customer],$D$9,0)*MATCH(orderHistory[status],$D$11,0)*MATCH(orderHistory[order_type],$D$13,0)),MATCH(ROW(orderHistory[customer]),ROW(orderHistory[customer])),""),ROWS($A$15:A52)+$B$3))))),"")</f>
        <v/>
      </c>
      <c r="U47" s="386" t="str">
        <f t="array" ref="U47">IFERROR(IF($D$9="",IF($D$11="",IF($D$13="",INDEX(orderHistory[shipping_method],SMALL(MATCH(ROW(orderHistory[customer]),ROW(orderHistory[customer])),ROWS($A$15:A52)+$B$3)),INDEX(orderHistory[shipping_method],SMALL(IF(ISNUMBER(MATCH(orderHistory[order_type],$D$13,0)),MATCH(ROW(orderHistory[customer]),ROW(orderHistory[customer])),""),ROWS($A$15:A52)+$B$3))),IF($D$13="",INDEX(orderHistory[shipping_method],SMALL(IF(ISNUMBER(MATCH(orderHistory[status],$D$11,0)),MATCH(ROW(orderHistory[customer]),ROW(orderHistory[customer])),""),ROWS($A$15:A52)+$B$3)),INDEX(orderHistory[shipping_method],SMALL(IF(ISNUMBER(MATCH(orderHistory[status],$D$11,0)*MATCH(orderHistory[order_type],$D$13,0)),MATCH(ROW(orderHistory[customer]),ROW(orderHistory[customer])),""),ROWS($A$15:A52)+$B$3)))),IF($D$11="",IF($D$13="",INDEX(orderHistory[shipping_method],SMALL(IF(ISNUMBER(MATCH(orderHistory[customer],$D$9,0)),MATCH(ROW(orderHistory[customer]),ROW(orderHistory[customer])),""),ROWS($A$15:A52)+$B$3)),INDEX(orderHistory[shipping_method],SMALL(IF(ISNUMBER(MATCH(orderHistory[customer],$D$9,0)*MATCH(orderHistory[order_type],$D$13,0)),MATCH(ROW(orderHistory[customer]),ROW(orderHistory[customer])),""),ROWS($A$15:A52)+$B$3))),IF($D$13="",INDEX(orderHistory[shipping_method],SMALL(IF(ISNUMBER(MATCH(orderHistory[customer],$D$9,0)*MATCH(orderHistory[status],$D$11,0)),MATCH(ROW(orderHistory[customer]),ROW(orderHistory[customer])),""),ROWS($A$15:A52)+$B$3)),INDEX(orderHistory[shipping_method],SMALL(IF(ISNUMBER(MATCH(orderHistory[customer],$D$9,0)*MATCH(orderHistory[status],$D$11,0)*MATCH(orderHistory[order_type],$D$13,0)),MATCH(ROW(orderHistory[customer]),ROW(orderHistory[customer])),""),ROWS($A$15:A52)+$B$3))))),"")</f>
        <v/>
      </c>
      <c r="V47" s="387" t="str">
        <f t="array" ref="V47">IFERROR(IF($D$9="",IF($D$11="",IF($D$13="",INDEX(orderHistory[status],SMALL(MATCH(ROW(orderHistory[customer]),ROW(orderHistory[customer])),ROWS($A$15:A52)+$B$3)),INDEX(orderHistory[status],SMALL(IF(ISNUMBER(MATCH(orderHistory[order_type],$D$13,0)),MATCH(ROW(orderHistory[customer]),ROW(orderHistory[customer])),""),ROWS($A$15:A52)+$B$3))),IF($D$13="",INDEX(orderHistory[status],SMALL(IF(ISNUMBER(MATCH(orderHistory[status],$D$11,0)),MATCH(ROW(orderHistory[customer]),ROW(orderHistory[customer])),""),ROWS($A$15:A52)+$B$3)),INDEX(orderHistory[status],SMALL(IF(ISNUMBER(MATCH(orderHistory[status],$D$11,0)*MATCH(orderHistory[order_type],$D$13,0)),MATCH(ROW(orderHistory[customer]),ROW(orderHistory[customer])),""),ROWS($A$15:A52)+$B$3)))),IF($D$11="",IF($D$13="",INDEX(orderHistory[status],SMALL(IF(ISNUMBER(MATCH(orderHistory[customer],$D$9,0)),MATCH(ROW(orderHistory[customer]),ROW(orderHistory[customer])),""),ROWS($A$15:A52)+$B$3)),INDEX(orderHistory[status],SMALL(IF(ISNUMBER(MATCH(orderHistory[customer],$D$9,0)*MATCH(orderHistory[order_type],$D$13,0)),MATCH(ROW(orderHistory[customer]),ROW(orderHistory[customer])),""),ROWS($A$15:A52)+$B$3))),IF($D$13="",INDEX(orderHistory[status],SMALL(IF(ISNUMBER(MATCH(orderHistory[customer],$D$9,0)*MATCH(orderHistory[status],$D$11,0)),MATCH(ROW(orderHistory[customer]),ROW(orderHistory[customer])),""),ROWS($A$15:A52)+$B$3)),INDEX(orderHistory[status],SMALL(IF(ISNUMBER(MATCH(orderHistory[customer],$D$9,0)*MATCH(orderHistory[status],$D$11,0)*MATCH(orderHistory[order_type],$D$13,0)),MATCH(ROW(orderHistory[customer]),ROW(orderHistory[customer])),""),ROWS($A$15:A52)+$B$3))))),"")</f>
        <v/>
      </c>
      <c r="W47" s="17"/>
      <c r="X47" s="17"/>
      <c r="BG47"/>
      <c r="BK47" s="146"/>
      <c r="BL47" s="147"/>
      <c r="BM47" s="148"/>
      <c r="BN47" s="147"/>
      <c r="BO47" s="148"/>
      <c r="BZ47" s="295"/>
      <c r="CA47" s="270" t="str">
        <f>IF(BZ47="","",VLOOKUP(BZ47,bhpc_data[],7,FALSE))</f>
        <v/>
      </c>
      <c r="CB47" s="296"/>
      <c r="CC47" s="643"/>
      <c r="CD47" s="297"/>
      <c r="CE47" s="645"/>
      <c r="CF47" s="298"/>
      <c r="CG47" s="301" t="str">
        <f>IFERROR(ROUNDUP(CB47/VLOOKUP(BZ47,bhpc_data[],9,FALSE),0)+ROUNDUP(CD47/VLOOKUP(BZ47,bhpc_data[],9,FALSE),0),"")</f>
        <v/>
      </c>
      <c r="CH47" s="302" t="str">
        <f>IFERROR(ROUNDUP(CD47/VLOOKUP(BZ47,bhpc_data[],9,FALSE),0),"")</f>
        <v/>
      </c>
      <c r="CI47" s="302" t="str">
        <f>IFERROR(ROUNDUP(CF47/VLOOKUP(BZ47,bhpc_data[],9,FALSE),0),"")</f>
        <v/>
      </c>
      <c r="CJ47" s="302" t="str">
        <f>IFERROR(((CB47+CD47+CF47)/VLOOKUP(BZ47,bhpc_data[],9,FALSE))*VLOOKUP(BZ47,bhpc_data[],17,FALSE),"")</f>
        <v/>
      </c>
      <c r="CK47" s="302" t="str">
        <f>IFERROR(((CB47+CD47+CF47)/VLOOKUP(BZ47,bhpc_data[],9,FALSE))*VLOOKUP(BZ47,bhpc_data[],18,FALSE),"")</f>
        <v/>
      </c>
      <c r="CL47" s="346" t="str">
        <f>IFERROR((CB47+CD47)/VLOOKUP(BZ47,bhpc_data[],9,FALSE)*VLOOKUP(BZ47,bhpc_data[],14,FALSE)*VLOOKUP(BZ47,bhpc_data[],15,FALSE)*VLOOKUP(BZ47,bhpc_data[],16,FALSE)/1000000000,"")</f>
        <v/>
      </c>
      <c r="CM47" s="409" t="str">
        <f>IFERROR(VLOOKUP(BZ47,bhpc_data[],2,FALSE),"")</f>
        <v/>
      </c>
      <c r="CN47" s="409" t="str">
        <f>IFERROR(VLOOKUP(BZ47,bhpc_data[],19,FALSE),"")</f>
        <v/>
      </c>
      <c r="CO47" s="653" t="str">
        <f>IFERROR(VLOOKUP(BZ47,bhpc_data[],6,FALSE),"")</f>
        <v/>
      </c>
      <c r="CP47" s="654" t="str">
        <f>IFERROR(VLOOKUP(BZ47,inventory[],4,FALSE),"")</f>
        <v/>
      </c>
      <c r="CQ47" s="651" t="str">
        <f>IFERROR(IF(BZ47="","",IF($BX$15="SALE",VLOOKUP(BZ47,inventory[],5,FALSE),IF($BX$15="SAMPLING",VLOOKUP(BZ47,inventory[],5,FALSE),""))),"")</f>
        <v/>
      </c>
      <c r="CR47" s="656" t="str">
        <f>IFERROR(IF(BZ47="","",(CB47+CD47+CF47)*CQ47),"")</f>
        <v/>
      </c>
      <c r="CS47" s="557" t="str">
        <f>IF(BZ47="","",CB47*CC47+CD47*CE47)</f>
        <v/>
      </c>
      <c r="CU47" s="607"/>
      <c r="CV47" s="411" t="s">
        <v>74</v>
      </c>
      <c r="CW47" s="411" t="s">
        <v>128</v>
      </c>
      <c r="CX47" s="411" t="s">
        <v>170</v>
      </c>
      <c r="CY47" s="411" t="s">
        <v>37</v>
      </c>
      <c r="CZ47" s="608"/>
      <c r="DA47" s="540" t="str">
        <f>IFERROR(VLOOKUP(BZ47,bhpc_data[],22,FALSE),"")</f>
        <v/>
      </c>
      <c r="EE47" s="454" t="s">
        <v>119</v>
      </c>
      <c r="EF47" s="447" t="str">
        <f>VLOOKUP(EE47,bhpc_data[],7,FALSE)</f>
        <v>BHPC WOMEN 1 EDP 100ML</v>
      </c>
      <c r="EG47" s="555">
        <f>IFERROR(VLOOKUP(EE47,inventory[],4,FALSE),0)</f>
        <v>9142</v>
      </c>
      <c r="EH47" s="555">
        <f>IFERROR(VLOOKUP(warehouse[[#This Row],[SKU]],$EQ$10:$ES$38,3,FALSE),0)</f>
        <v>0</v>
      </c>
      <c r="EI47" s="555">
        <f>IFERROR(VLOOKUP(warehouse[[#This Row],[SKU]],$EM$10:$EO$61,3,FALSE),0)</f>
        <v>2973</v>
      </c>
      <c r="EJ47" s="555">
        <f>warehouse[[#This Row],[T-1]]+warehouse[[#This Row],[SUPPLY]]-warehouse[[#This Row],[SALE + SAMPLING]]</f>
        <v>6169</v>
      </c>
      <c r="EK47" s="449"/>
      <c r="EM47" s="74" t="s">
        <v>138</v>
      </c>
      <c r="EN47" s="74" t="s">
        <v>139</v>
      </c>
      <c r="EO47" s="431">
        <v>1430</v>
      </c>
    </row>
    <row r="48" spans="6:149" ht="15" customHeight="1">
      <c r="J48" s="17"/>
      <c r="K48" s="17"/>
      <c r="L48" s="274" t="str">
        <f t="array" ref="L48">IFERROR(IF($D$9="",IF($D$11="",IF($D$13="",INDEX(orderHistory[customer],SMALL(MATCH(ROW(orderHistory[customer]),ROW(orderHistory[customer])),ROWS($A$15:A53)+$B$3)),INDEX(orderHistory[customer],SMALL(IF(ISNUMBER(MATCH(orderHistory[order_type],$D$13,0)),MATCH(ROW(orderHistory[customer]),ROW(orderHistory[customer])),""),ROWS($A$15:A53)+$B$3))),IF($D$13="",INDEX(orderHistory[customer],SMALL(IF(ISNUMBER(MATCH(orderHistory[status],$D$11,0)),MATCH(ROW(orderHistory[customer]),ROW(orderHistory[customer])),""),ROWS($A$15:A53)+$B$3)),INDEX(orderHistory[customer],SMALL(IF(ISNUMBER(MATCH(orderHistory[status],$D$11,0)*MATCH(orderHistory[order_type],$D$13,0)),MATCH(ROW(orderHistory[customer]),ROW(orderHistory[customer])),""),ROWS($A$15:A53)+$B$3)))),IF($D$11="",IF($D$13="",INDEX(orderHistory[customer],SMALL(IF(ISNUMBER(MATCH(orderHistory[customer],$D$9,0)),MATCH(ROW(orderHistory[customer]),ROW(orderHistory[customer])),""),ROWS($A$15:A53)+$B$3)),INDEX(orderHistory[customer],SMALL(IF(ISNUMBER(MATCH(orderHistory[customer],$D$9,0)*MATCH(orderHistory[order_type],$D$13,0)),MATCH(ROW(orderHistory[customer]),ROW(orderHistory[customer])),""),ROWS($A$15:A53)+$B$3))),IF($D$13="",INDEX(orderHistory[customer],SMALL(IF(ISNUMBER(MATCH(orderHistory[customer],$D$9,0)*MATCH(orderHistory[status],$D$11,0)),MATCH(ROW(orderHistory[customer]),ROW(orderHistory[customer])),""),ROWS($A$15:A53)+$B$3)),INDEX(orderHistory[customer],SMALL(IF(ISNUMBER(MATCH(orderHistory[customer],$D$9,0)*MATCH(orderHistory[status],$D$11,0)*MATCH(orderHistory[order_type],$D$13,0)),MATCH(ROW(orderHistory[customer]),ROW(orderHistory[customer])),""),ROWS($A$15:A53)+$B$3))))),"")</f>
        <v/>
      </c>
      <c r="M48" s="391" t="str">
        <f t="array" ref="M48">IFERROR(IF($D$9="",IF($D$11="",IF($D$13="",INDEX(orderHistory[order_no],SMALL(MATCH(ROW(orderHistory[customer]),ROW(orderHistory[customer])),ROWS($A$15:A53)+$B$3)),INDEX(orderHistory[order_no],SMALL(IF(ISNUMBER(MATCH(orderHistory[order_type],$D$13,0)),MATCH(ROW(orderHistory[customer]),ROW(orderHistory[customer])),""),ROWS($A$15:A53)+$B$3))),IF($D$13="",INDEX(orderHistory[order_no],SMALL(IF(ISNUMBER(MATCH(orderHistory[status],$D$11,0)),MATCH(ROW(orderHistory[customer]),ROW(orderHistory[customer])),""),ROWS($A$15:A53)+$B$3)),INDEX(orderHistory[order_no],SMALL(IF(ISNUMBER(MATCH(orderHistory[status],$D$11,0)*MATCH(orderHistory[order_type],$D$13,0)),MATCH(ROW(orderHistory[customer]),ROW(orderHistory[customer])),""),ROWS($A$15:A53)+$B$3)))),IF($D$11="",IF($D$13="",INDEX(orderHistory[order_no],SMALL(IF(ISNUMBER(MATCH(orderHistory[customer],$D$9,0)),MATCH(ROW(orderHistory[customer]),ROW(orderHistory[customer])),""),ROWS($A$15:A53)+$B$3)),INDEX(orderHistory[order_no],SMALL(IF(ISNUMBER(MATCH(orderHistory[customer],$D$9,0)*MATCH(orderHistory[order_type],$D$13,0)),MATCH(ROW(orderHistory[customer]),ROW(orderHistory[customer])),""),ROWS($A$15:A53)+$B$3))),IF($D$13="",INDEX(orderHistory[order_no],SMALL(IF(ISNUMBER(MATCH(orderHistory[customer],$D$9,0)*MATCH(orderHistory[status],$D$11,0)),MATCH(ROW(orderHistory[customer]),ROW(orderHistory[customer])),""),ROWS($A$15:A53)+$B$3)),INDEX(orderHistory[order_no],SMALL(IF(ISNUMBER(MATCH(orderHistory[customer],$D$9,0)*MATCH(orderHistory[status],$D$11,0)*MATCH(orderHistory[order_type],$D$13,0)),MATCH(ROW(orderHistory[customer]),ROW(orderHistory[customer])),""),ROWS($A$15:A53)+$B$3))))),"")</f>
        <v/>
      </c>
      <c r="N48" s="386" t="str">
        <f t="array" ref="N48">IFERROR(IF($D$9="",IF($D$11="",IF($D$13="",INDEX(orderHistory[order_type],SMALL(MATCH(ROW(orderHistory[customer]),ROW(orderHistory[customer])),ROWS($A$15:A53)+$B$3)),INDEX(orderHistory[order_type],SMALL(IF(ISNUMBER(MATCH(orderHistory[order_type],$D$13,0)),MATCH(ROW(orderHistory[customer]),ROW(orderHistory[customer])),""),ROWS($A$15:A53)+$B$3))),IF($D$13="",INDEX(orderHistory[order_type],SMALL(IF(ISNUMBER(MATCH(orderHistory[status],$D$11,0)),MATCH(ROW(orderHistory[customer]),ROW(orderHistory[customer])),""),ROWS($A$15:A53)+$B$3)),INDEX(orderHistory[order_type],SMALL(IF(ISNUMBER(MATCH(orderHistory[status],$D$11,0)*MATCH(orderHistory[order_type],$D$13,0)),MATCH(ROW(orderHistory[customer]),ROW(orderHistory[customer])),""),ROWS($A$15:A53)+$B$3)))),IF($D$11="",IF($D$13="",INDEX(orderHistory[order_type],SMALL(IF(ISNUMBER(MATCH(orderHistory[customer],$D$9,0)),MATCH(ROW(orderHistory[customer]),ROW(orderHistory[customer])),""),ROWS($A$15:A53)+$B$3)),INDEX(orderHistory[order_type],SMALL(IF(ISNUMBER(MATCH(orderHistory[customer],$D$9,0)*MATCH(orderHistory[order_type],$D$13,0)),MATCH(ROW(orderHistory[customer]),ROW(orderHistory[customer])),""),ROWS($A$15:A53)+$B$3))),IF($D$13="",INDEX(orderHistory[order_type],SMALL(IF(ISNUMBER(MATCH(orderHistory[customer],$D$9,0)*MATCH(orderHistory[status],$D$11,0)),MATCH(ROW(orderHistory[customer]),ROW(orderHistory[customer])),""),ROWS($A$15:A53)+$B$3)),INDEX(orderHistory[order_type],SMALL(IF(ISNUMBER(MATCH(orderHistory[customer],$D$9,0)*MATCH(orderHistory[status],$D$11,0)*MATCH(orderHistory[order_type],$D$13,0)),MATCH(ROW(orderHistory[customer]),ROW(orderHistory[customer])),""),ROWS($A$15:A53)+$B$3))))),"")</f>
        <v/>
      </c>
      <c r="O48" s="275" t="str">
        <f t="array" ref="O48">IFERROR(IF($D$9="",IF($D$11="",IF($D$13="",INDEX(orderHistory[order_date],SMALL(MATCH(ROW(orderHistory[customer]),ROW(orderHistory[customer])),ROWS($A$15:A53)+$B$3)),INDEX(orderHistory[order_date],SMALL(IF(ISNUMBER(MATCH(orderHistory[order_type],$D$13,0)),MATCH(ROW(orderHistory[customer]),ROW(orderHistory[customer])),""),ROWS($A$15:A53)+$B$3))),IF($D$13="",INDEX(orderHistory[order_date],SMALL(IF(ISNUMBER(MATCH(orderHistory[status],$D$11,0)),MATCH(ROW(orderHistory[customer]),ROW(orderHistory[customer])),""),ROWS($A$15:A53)+$B$3)),INDEX(orderHistory[order_date],SMALL(IF(ISNUMBER(MATCH(orderHistory[status],$D$11,0)*MATCH(orderHistory[order_type],$D$13,0)),MATCH(ROW(orderHistory[customer]),ROW(orderHistory[customer])),""),ROWS($A$15:A53)+$B$3)))),IF($D$11="",IF($D$13="",INDEX(orderHistory[order_date],SMALL(IF(ISNUMBER(MATCH(orderHistory[customer],$D$9,0)),MATCH(ROW(orderHistory[customer]),ROW(orderHistory[customer])),""),ROWS($A$15:A53)+$B$3)),INDEX(orderHistory[order_date],SMALL(IF(ISNUMBER(MATCH(orderHistory[customer],$D$9,0)*MATCH(orderHistory[order_type],$D$13,0)),MATCH(ROW(orderHistory[customer]),ROW(orderHistory[customer])),""),ROWS($A$15:A53)+$B$3))),IF($D$13="",INDEX(orderHistory[order_date],SMALL(IF(ISNUMBER(MATCH(orderHistory[customer],$D$9,0)*MATCH(orderHistory[status],$D$11,0)),MATCH(ROW(orderHistory[customer]),ROW(orderHistory[customer])),""),ROWS($A$15:A53)+$B$3)),INDEX(orderHistory[order_date],SMALL(IF(ISNUMBER(MATCH(orderHistory[customer],$D$9,0)*MATCH(orderHistory[status],$D$11,0)*MATCH(orderHistory[order_type],$D$13,0)),MATCH(ROW(orderHistory[customer]),ROW(orderHistory[customer])),""),ROWS($A$15:A53)+$B$3))))),"")</f>
        <v/>
      </c>
      <c r="P48" s="379" t="str">
        <f t="array" ref="P48">IF(IFERROR(IF($D$9="",IF($D$11="",IF($D$13="",INDEX(orderHistory[invoice_no],SMALL(MATCH(ROW(orderHistory[customer]),ROW(orderHistory[customer])),ROWS($A$15:A53)+$B$3)),INDEX(orderHistory[invoice_no],SMALL(IF(ISNUMBER(MATCH(orderHistory[order_type],$D$13,0)),MATCH(ROW(orderHistory[customer]),ROW(orderHistory[customer])),""),ROWS($A$15:A53)+$B$3))),IF($D$13="",INDEX(orderHistory[invoice_no],SMALL(IF(ISNUMBER(MATCH(orderHistory[status],$D$11,0)),MATCH(ROW(orderHistory[customer]),ROW(orderHistory[customer])),""),ROWS($A$15:A53)+$B$3)),INDEX(orderHistory[invoice_no],SMALL(IF(ISNUMBER(MATCH(orderHistory[status],$D$11,0)*MATCH(orderHistory[order_type],$D$13,0)),MATCH(ROW(orderHistory[customer]),ROW(orderHistory[customer])),""),ROWS($A$15:A53)+$B$3)))),IF($D$11="",IF($D$13="",INDEX(orderHistory[invoice_no],SMALL(IF(ISNUMBER(MATCH(orderHistory[customer],$D$9,0)),MATCH(ROW(orderHistory[customer]),ROW(orderHistory[customer])),""),ROWS($A$15:A53)+$B$3)),INDEX(orderHistory[invoice_no],SMALL(IF(ISNUMBER(MATCH(orderHistory[customer],$D$9,0)*MATCH(orderHistory[order_type],$D$13,0)),MATCH(ROW(orderHistory[customer]),ROW(orderHistory[customer])),""),ROWS($A$15:A53)+$B$3))),IF($D$13="",INDEX(orderHistory[invoice_no],SMALL(IF(ISNUMBER(MATCH(orderHistory[customer],$D$9,0)*MATCH(orderHistory[status],$D$11,0)),MATCH(ROW(orderHistory[customer]),ROW(orderHistory[customer])),""),ROWS($A$15:A53)+$B$3)),INDEX(orderHistory[invoice_no],SMALL(IF(ISNUMBER(MATCH(orderHistory[customer],$D$9,0)*MATCH(orderHistory[status],$D$11,0)*MATCH(orderHistory[order_type],$D$13,0)),MATCH(ROW(orderHistory[customer]),ROW(orderHistory[customer])),""),ROWS($A$15:A53)+$B$3))))),"")=0,"",IFERROR(IF($D$9="",IF($D$11="",IF($D$13="",INDEX(orderHistory[invoice_no],SMALL(MATCH(ROW(orderHistory[customer]),ROW(orderHistory[customer])),ROWS($A$15:A53)+$B$3)),INDEX(orderHistory[invoice_no],SMALL(IF(ISNUMBER(MATCH(orderHistory[order_type],$D$13,0)),MATCH(ROW(orderHistory[customer]),ROW(orderHistory[customer])),""),ROWS($A$15:A53)+$B$3))),IF($D$13="",INDEX(orderHistory[invoice_no],SMALL(IF(ISNUMBER(MATCH(orderHistory[status],$D$11,0)),MATCH(ROW(orderHistory[customer]),ROW(orderHistory[customer])),""),ROWS($A$15:A53)+$B$3)),INDEX(orderHistory[invoice_no],SMALL(IF(ISNUMBER(MATCH(orderHistory[status],$D$11,0)*MATCH(orderHistory[order_type],$D$13,0)),MATCH(ROW(orderHistory[customer]),ROW(orderHistory[customer])),""),ROWS($A$15:A53)+$B$3)))),IF($D$11="",IF($D$13="",INDEX(orderHistory[invoice_no],SMALL(IF(ISNUMBER(MATCH(orderHistory[customer],$D$9,0)),MATCH(ROW(orderHistory[customer]),ROW(orderHistory[customer])),""),ROWS($A$15:A53)+$B$3)),INDEX(orderHistory[invoice_no],SMALL(IF(ISNUMBER(MATCH(orderHistory[customer],$D$9,0)*MATCH(orderHistory[order_type],$D$13,0)),MATCH(ROW(orderHistory[customer]),ROW(orderHistory[customer])),""),ROWS($A$15:A53)+$B$3))),IF($D$13="",INDEX(orderHistory[invoice_no],SMALL(IF(ISNUMBER(MATCH(orderHistory[customer],$D$9,0)*MATCH(orderHistory[status],$D$11,0)),MATCH(ROW(orderHistory[customer]),ROW(orderHistory[customer])),""),ROWS($A$15:A53)+$B$3)),INDEX(orderHistory[invoice_no],SMALL(IF(ISNUMBER(MATCH(orderHistory[customer],$D$9,0)*MATCH(orderHistory[status],$D$11,0)*MATCH(orderHistory[order_type],$D$13,0)),MATCH(ROW(orderHistory[customer]),ROW(orderHistory[customer])),""),ROWS($A$15:A53)+$B$3))))),""))</f>
        <v/>
      </c>
      <c r="Q48" s="381" t="str">
        <f t="array" ref="Q48">IF(IFERROR(IF($D$9="",IF($D$11="",IF($D$13="",INDEX(orderHistory[invoice_date],SMALL(MATCH(ROW(orderHistory[customer]),ROW(orderHistory[customer])),ROWS($A$15:A53)+$B$3)),INDEX(orderHistory[invoice_date],SMALL(IF(ISNUMBER(MATCH(orderHistory[order_type],$D$13,0)),MATCH(ROW(orderHistory[customer]),ROW(orderHistory[customer])),""),ROWS($A$15:A53)+$B$3))),IF($D$13="",INDEX(orderHistory[invoice_date],SMALL(IF(ISNUMBER(MATCH(orderHistory[status],$D$11,0)),MATCH(ROW(orderHistory[customer]),ROW(orderHistory[customer])),""),ROWS($A$15:A53)+$B$3)),INDEX(orderHistory[invoice_date],SMALL(IF(ISNUMBER(MATCH(orderHistory[status],$D$11,0)*MATCH(orderHistory[order_type],$D$13,0)),MATCH(ROW(orderHistory[customer]),ROW(orderHistory[customer])),""),ROWS($A$15:A53)+$B$3)))),IF($D$11="",IF($D$13="",INDEX(orderHistory[invoice_date],SMALL(IF(ISNUMBER(MATCH(orderHistory[customer],$D$9,0)),MATCH(ROW(orderHistory[customer]),ROW(orderHistory[customer])),""),ROWS($A$15:A53)+$B$3)),INDEX(orderHistory[invoice_date],SMALL(IF(ISNUMBER(MATCH(orderHistory[customer],$D$9,0)*MATCH(orderHistory[order_type],$D$13,0)),MATCH(ROW(orderHistory[customer]),ROW(orderHistory[customer])),""),ROWS($A$15:A53)+$B$3))),IF($D$13="",INDEX(orderHistory[invoice_date],SMALL(IF(ISNUMBER(MATCH(orderHistory[customer],$D$9,0)*MATCH(orderHistory[status],$D$11,0)),MATCH(ROW(orderHistory[customer]),ROW(orderHistory[customer])),""),ROWS($A$15:A53)+$B$3)),INDEX(orderHistory[invoice_date],SMALL(IF(ISNUMBER(MATCH(orderHistory[customer],$D$9,0)*MATCH(orderHistory[status],$D$11,0)*MATCH(orderHistory[order_type],$D$13,0)),MATCH(ROW(orderHistory[customer]),ROW(orderHistory[customer])),""),ROWS($A$15:A53)+$B$3))))),"")=0,"",IFERROR(IF($D$9="",IF($D$11="",IF($D$13="",INDEX(orderHistory[invoice_date],SMALL(MATCH(ROW(orderHistory[customer]),ROW(orderHistory[customer])),ROWS($A$15:A53)+$B$3)),INDEX(orderHistory[invoice_date],SMALL(IF(ISNUMBER(MATCH(orderHistory[order_type],$D$13,0)),MATCH(ROW(orderHistory[customer]),ROW(orderHistory[customer])),""),ROWS($A$15:A53)+$B$3))),IF($D$13="",INDEX(orderHistory[invoice_date],SMALL(IF(ISNUMBER(MATCH(orderHistory[status],$D$11,0)),MATCH(ROW(orderHistory[customer]),ROW(orderHistory[customer])),""),ROWS($A$15:A53)+$B$3)),INDEX(orderHistory[invoice_date],SMALL(IF(ISNUMBER(MATCH(orderHistory[status],$D$11,0)*MATCH(orderHistory[order_type],$D$13,0)),MATCH(ROW(orderHistory[customer]),ROW(orderHistory[customer])),""),ROWS($A$15:A53)+$B$3)))),IF($D$11="",IF($D$13="",INDEX(orderHistory[invoice_date],SMALL(IF(ISNUMBER(MATCH(orderHistory[customer],$D$9,0)),MATCH(ROW(orderHistory[customer]),ROW(orderHistory[customer])),""),ROWS($A$15:A53)+$B$3)),INDEX(orderHistory[invoice_date],SMALL(IF(ISNUMBER(MATCH(orderHistory[customer],$D$9,0)*MATCH(orderHistory[order_type],$D$13,0)),MATCH(ROW(orderHistory[customer]),ROW(orderHistory[customer])),""),ROWS($A$15:A53)+$B$3))),IF($D$13="",INDEX(orderHistory[invoice_date],SMALL(IF(ISNUMBER(MATCH(orderHistory[customer],$D$9,0)*MATCH(orderHistory[status],$D$11,0)),MATCH(ROW(orderHistory[customer]),ROW(orderHistory[customer])),""),ROWS($A$15:A53)+$B$3)),INDEX(orderHistory[invoice_date],SMALL(IF(ISNUMBER(MATCH(orderHistory[customer],$D$9,0)*MATCH(orderHistory[status],$D$11,0)*MATCH(orderHistory[order_type],$D$13,0)),MATCH(ROW(orderHistory[customer]),ROW(orderHistory[customer])),""),ROWS($A$15:A53)+$B$3))))),""))</f>
        <v/>
      </c>
      <c r="R48" s="377" t="str">
        <f t="array" ref="R48">IFERROR(IF($D$9="",IF($D$11="",IF($D$13="",INDEX(orderHistory[inv_amount],SMALL(MATCH(ROW(orderHistory[customer]),ROW(orderHistory[customer])),ROWS($A$15:A53)+$B$3)),INDEX(orderHistory[inv_amount],SMALL(IF(ISNUMBER(MATCH(orderHistory[order_type],$D$13,0)),MATCH(ROW(orderHistory[customer]),ROW(orderHistory[customer])),""),ROWS($A$15:A53)+$B$3))),IF($D$13="",INDEX(orderHistory[inv_amount],SMALL(IF(ISNUMBER(MATCH(orderHistory[status],$D$11,0)),MATCH(ROW(orderHistory[customer]),ROW(orderHistory[customer])),""),ROWS($A$15:A53)+$B$3)),INDEX(orderHistory[inv_amount],SMALL(IF(ISNUMBER(MATCH(orderHistory[status],$D$11,0)*MATCH(orderHistory[order_type],$D$13,0)),MATCH(ROW(orderHistory[customer]),ROW(orderHistory[customer])),""),ROWS($A$15:A53)+$B$3)))),IF($D$11="",IF($D$13="",INDEX(orderHistory[inv_amount],SMALL(IF(ISNUMBER(MATCH(orderHistory[customer],$D$9,0)),MATCH(ROW(orderHistory[customer]),ROW(orderHistory[customer])),""),ROWS($A$15:A53)+$B$3)),INDEX(orderHistory[inv_amount],SMALL(IF(ISNUMBER(MATCH(orderHistory[customer],$D$9,0)*MATCH(orderHistory[order_type],$D$13,0)),MATCH(ROW(orderHistory[customer]),ROW(orderHistory[customer])),""),ROWS($A$15:A53)+$B$3))),IF($D$13="",INDEX(orderHistory[inv_amount],SMALL(IF(ISNUMBER(MATCH(orderHistory[customer],$D$9,0)*MATCH(orderHistory[status],$D$11,0)),MATCH(ROW(orderHistory[customer]),ROW(orderHistory[customer])),""),ROWS($A$15:A53)+$B$3)),INDEX(orderHistory[inv_amount],SMALL(IF(ISNUMBER(MATCH(orderHistory[customer],$D$9,0)*MATCH(orderHistory[status],$D$11,0)*MATCH(orderHistory[order_type],$D$13,0)),MATCH(ROW(orderHistory[customer]),ROW(orderHistory[customer])),""),ROWS($A$15:A53)+$B$3))))),"")</f>
        <v/>
      </c>
      <c r="S48" s="383" t="str">
        <f t="shared" si="1"/>
        <v/>
      </c>
      <c r="T48" s="385" t="str">
        <f t="array" ref="T48">IFERROR(IF($D$9="",IF($D$11="",IF($D$13="",INDEX(orderHistory[payed],SMALL(MATCH(ROW(orderHistory[customer]),ROW(orderHistory[customer])),ROWS($A$15:A53)+$B$3)),INDEX(orderHistory[payed],SMALL(IF(ISNUMBER(MATCH(orderHistory[order_type],$D$13,0)),MATCH(ROW(orderHistory[customer]),ROW(orderHistory[customer])),""),ROWS($A$15:A53)+$B$3))),IF($D$13="",INDEX(orderHistory[payed],SMALL(IF(ISNUMBER(MATCH(orderHistory[status],$D$11,0)),MATCH(ROW(orderHistory[customer]),ROW(orderHistory[customer])),""),ROWS($A$15:A53)+$B$3)),INDEX(orderHistory[payed],SMALL(IF(ISNUMBER(MATCH(orderHistory[status],$D$11,0)*MATCH(orderHistory[order_type],$D$13,0)),MATCH(ROW(orderHistory[customer]),ROW(orderHistory[customer])),""),ROWS($A$15:A53)+$B$3)))),IF($D$11="",IF($D$13="",INDEX(orderHistory[payed],SMALL(IF(ISNUMBER(MATCH(orderHistory[customer],$D$9,0)),MATCH(ROW(orderHistory[customer]),ROW(orderHistory[customer])),""),ROWS($A$15:A53)+$B$3)),INDEX(orderHistory[payed],SMALL(IF(ISNUMBER(MATCH(orderHistory[customer],$D$9,0)*MATCH(orderHistory[order_type],$D$13,0)),MATCH(ROW(orderHistory[customer]),ROW(orderHistory[customer])),""),ROWS($A$15:A53)+$B$3))),IF($D$13="",INDEX(orderHistory[payed],SMALL(IF(ISNUMBER(MATCH(orderHistory[customer],$D$9,0)*MATCH(orderHistory[status],$D$11,0)),MATCH(ROW(orderHistory[customer]),ROW(orderHistory[customer])),""),ROWS($A$15:A53)+$B$3)),INDEX(orderHistory[payed],SMALL(IF(ISNUMBER(MATCH(orderHistory[customer],$D$9,0)*MATCH(orderHistory[status],$D$11,0)*MATCH(orderHistory[order_type],$D$13,0)),MATCH(ROW(orderHistory[customer]),ROW(orderHistory[customer])),""),ROWS($A$15:A53)+$B$3))))),"")</f>
        <v/>
      </c>
      <c r="U48" s="386" t="str">
        <f t="array" ref="U48">IFERROR(IF($D$9="",IF($D$11="",IF($D$13="",INDEX(orderHistory[shipping_method],SMALL(MATCH(ROW(orderHistory[customer]),ROW(orderHistory[customer])),ROWS($A$15:A53)+$B$3)),INDEX(orderHistory[shipping_method],SMALL(IF(ISNUMBER(MATCH(orderHistory[order_type],$D$13,0)),MATCH(ROW(orderHistory[customer]),ROW(orderHistory[customer])),""),ROWS($A$15:A53)+$B$3))),IF($D$13="",INDEX(orderHistory[shipping_method],SMALL(IF(ISNUMBER(MATCH(orderHistory[status],$D$11,0)),MATCH(ROW(orderHistory[customer]),ROW(orderHistory[customer])),""),ROWS($A$15:A53)+$B$3)),INDEX(orderHistory[shipping_method],SMALL(IF(ISNUMBER(MATCH(orderHistory[status],$D$11,0)*MATCH(orderHistory[order_type],$D$13,0)),MATCH(ROW(orderHistory[customer]),ROW(orderHistory[customer])),""),ROWS($A$15:A53)+$B$3)))),IF($D$11="",IF($D$13="",INDEX(orderHistory[shipping_method],SMALL(IF(ISNUMBER(MATCH(orderHistory[customer],$D$9,0)),MATCH(ROW(orderHistory[customer]),ROW(orderHistory[customer])),""),ROWS($A$15:A53)+$B$3)),INDEX(orderHistory[shipping_method],SMALL(IF(ISNUMBER(MATCH(orderHistory[customer],$D$9,0)*MATCH(orderHistory[order_type],$D$13,0)),MATCH(ROW(orderHistory[customer]),ROW(orderHistory[customer])),""),ROWS($A$15:A53)+$B$3))),IF($D$13="",INDEX(orderHistory[shipping_method],SMALL(IF(ISNUMBER(MATCH(orderHistory[customer],$D$9,0)*MATCH(orderHistory[status],$D$11,0)),MATCH(ROW(orderHistory[customer]),ROW(orderHistory[customer])),""),ROWS($A$15:A53)+$B$3)),INDEX(orderHistory[shipping_method],SMALL(IF(ISNUMBER(MATCH(orderHistory[customer],$D$9,0)*MATCH(orderHistory[status],$D$11,0)*MATCH(orderHistory[order_type],$D$13,0)),MATCH(ROW(orderHistory[customer]),ROW(orderHistory[customer])),""),ROWS($A$15:A53)+$B$3))))),"")</f>
        <v/>
      </c>
      <c r="V48" s="387" t="str">
        <f t="array" ref="V48">IFERROR(IF($D$9="",IF($D$11="",IF($D$13="",INDEX(orderHistory[status],SMALL(MATCH(ROW(orderHistory[customer]),ROW(orderHistory[customer])),ROWS($A$15:A53)+$B$3)),INDEX(orderHistory[status],SMALL(IF(ISNUMBER(MATCH(orderHistory[order_type],$D$13,0)),MATCH(ROW(orderHistory[customer]),ROW(orderHistory[customer])),""),ROWS($A$15:A53)+$B$3))),IF($D$13="",INDEX(orderHistory[status],SMALL(IF(ISNUMBER(MATCH(orderHistory[status],$D$11,0)),MATCH(ROW(orderHistory[customer]),ROW(orderHistory[customer])),""),ROWS($A$15:A53)+$B$3)),INDEX(orderHistory[status],SMALL(IF(ISNUMBER(MATCH(orderHistory[status],$D$11,0)*MATCH(orderHistory[order_type],$D$13,0)),MATCH(ROW(orderHistory[customer]),ROW(orderHistory[customer])),""),ROWS($A$15:A53)+$B$3)))),IF($D$11="",IF($D$13="",INDEX(orderHistory[status],SMALL(IF(ISNUMBER(MATCH(orderHistory[customer],$D$9,0)),MATCH(ROW(orderHistory[customer]),ROW(orderHistory[customer])),""),ROWS($A$15:A53)+$B$3)),INDEX(orderHistory[status],SMALL(IF(ISNUMBER(MATCH(orderHistory[customer],$D$9,0)*MATCH(orderHistory[order_type],$D$13,0)),MATCH(ROW(orderHistory[customer]),ROW(orderHistory[customer])),""),ROWS($A$15:A53)+$B$3))),IF($D$13="",INDEX(orderHistory[status],SMALL(IF(ISNUMBER(MATCH(orderHistory[customer],$D$9,0)*MATCH(orderHistory[status],$D$11,0)),MATCH(ROW(orderHistory[customer]),ROW(orderHistory[customer])),""),ROWS($A$15:A53)+$B$3)),INDEX(orderHistory[status],SMALL(IF(ISNUMBER(MATCH(orderHistory[customer],$D$9,0)*MATCH(orderHistory[status],$D$11,0)*MATCH(orderHistory[order_type],$D$13,0)),MATCH(ROW(orderHistory[customer]),ROW(orderHistory[customer])),""),ROWS($A$15:A53)+$B$3))))),"")</f>
        <v/>
      </c>
      <c r="W48" s="17"/>
      <c r="X48" s="17"/>
      <c r="BG48"/>
      <c r="BK48" s="146"/>
      <c r="BL48" s="147"/>
      <c r="BM48" s="148"/>
      <c r="BN48" s="147"/>
      <c r="BO48" s="148"/>
      <c r="BZ48" s="304"/>
      <c r="CA48" s="270" t="str">
        <f>IF(BZ48="","",VLOOKUP(BZ48,bhpc_data[],7,FALSE))</f>
        <v/>
      </c>
      <c r="CB48" s="303"/>
      <c r="CC48" s="642"/>
      <c r="CD48" s="297"/>
      <c r="CE48" s="645"/>
      <c r="CF48" s="298"/>
      <c r="CG48" s="301" t="str">
        <f>IFERROR(ROUNDUP(CB48/VLOOKUP(BZ48,bhpc_data[],9,FALSE),0)+ROUNDUP(CD48/VLOOKUP(BZ48,bhpc_data[],9,FALSE),0),"")</f>
        <v/>
      </c>
      <c r="CH48" s="302" t="str">
        <f>IFERROR(ROUNDUP(CD48/VLOOKUP(BZ48,bhpc_data[],9,FALSE),0),"")</f>
        <v/>
      </c>
      <c r="CI48" s="302" t="str">
        <f>IFERROR(ROUNDUP(CF48/VLOOKUP(BZ48,bhpc_data[],9,FALSE),0),"")</f>
        <v/>
      </c>
      <c r="CJ48" s="302" t="str">
        <f>IFERROR(((CB48+CD48+CF48)/VLOOKUP(BZ48,bhpc_data[],9,FALSE))*VLOOKUP(BZ48,bhpc_data[],17,FALSE),"")</f>
        <v/>
      </c>
      <c r="CK48" s="302" t="str">
        <f>IFERROR(((CB48+CD48+CF48)/VLOOKUP(BZ48,bhpc_data[],9,FALSE))*VLOOKUP(BZ48,bhpc_data[],18,FALSE),"")</f>
        <v/>
      </c>
      <c r="CL48" s="346" t="str">
        <f>IFERROR((CB48+CD48)/VLOOKUP(BZ48,bhpc_data[],9,FALSE)*VLOOKUP(BZ48,bhpc_data[],14,FALSE)*VLOOKUP(BZ48,bhpc_data[],15,FALSE)*VLOOKUP(BZ48,bhpc_data[],16,FALSE)/1000000000,"")</f>
        <v/>
      </c>
      <c r="CM48" s="409" t="str">
        <f>IFERROR(VLOOKUP(BZ48,bhpc_data[],2,FALSE),"")</f>
        <v/>
      </c>
      <c r="CN48" s="409" t="str">
        <f>IFERROR(VLOOKUP(BZ48,bhpc_data[],19,FALSE),"")</f>
        <v/>
      </c>
      <c r="CO48" s="653" t="str">
        <f>IFERROR(VLOOKUP(BZ48,bhpc_data[],6,FALSE),"")</f>
        <v/>
      </c>
      <c r="CP48" s="654" t="str">
        <f>IFERROR(VLOOKUP(BZ48,inventory[],4,FALSE),"")</f>
        <v/>
      </c>
      <c r="CQ48" s="651" t="str">
        <f>IFERROR(IF(BZ48="","",IF($BX$15="SALE",VLOOKUP(BZ48,inventory[],5,FALSE),IF($BX$15="SAMPLING",VLOOKUP(BZ48,inventory[],5,FALSE),""))),"")</f>
        <v/>
      </c>
      <c r="CR48" s="652" t="str">
        <f>IFERROR(IF(BZ48="","",(CB48+CD48+CF48)*CQ48),"")</f>
        <v/>
      </c>
      <c r="CS48" s="557" t="str">
        <f>IF(BZ48="","",CB48*CC48+CD48*CE48)</f>
        <v/>
      </c>
      <c r="CU48" s="607"/>
      <c r="CV48" s="411">
        <f>ROUNDUP(SUMIFS(bhpc_data[pallet],bhpc_data[category],"MASTIGE"),0)</f>
        <v>0</v>
      </c>
      <c r="CW48" s="411">
        <f>ROUNDUP(SUMIFS(bhpc_data[pallet],bhpc_data[category],"PRESTIGE"),0)</f>
        <v>1</v>
      </c>
      <c r="CX48" s="411">
        <f>ROUNDUP(SUMIFS(bhpc_data[pallet],bhpc_data[category],"DEODORANT"),0)</f>
        <v>0</v>
      </c>
      <c r="CY48" s="411">
        <f>ROUNDUP(SUMIFS(bhpc_data[pallet],bhpc_data[category],"GIFTSET"),0)</f>
        <v>0</v>
      </c>
      <c r="CZ48" s="608"/>
      <c r="DA48" s="540" t="str">
        <f>IFERROR(VLOOKUP(BZ48,bhpc_data[],22,FALSE),"")</f>
        <v/>
      </c>
      <c r="EE48" s="454" t="s">
        <v>121</v>
      </c>
      <c r="EF48" s="447" t="str">
        <f>VLOOKUP(EE48,bhpc_data[],7,FALSE)</f>
        <v>BHPC WOMEN 9 EDP 100ML</v>
      </c>
      <c r="EG48" s="555">
        <f>IFERROR(VLOOKUP(EE48,inventory[],4,FALSE),0)</f>
        <v>8908</v>
      </c>
      <c r="EH48" s="555">
        <f>IFERROR(VLOOKUP(warehouse[[#This Row],[SKU]],$EQ$10:$ES$38,3,FALSE),0)</f>
        <v>0</v>
      </c>
      <c r="EI48" s="555">
        <f>IFERROR(VLOOKUP(warehouse[[#This Row],[SKU]],$EM$10:$EO$61,3,FALSE),0)</f>
        <v>5520</v>
      </c>
      <c r="EJ48" s="555">
        <f>warehouse[[#This Row],[T-1]]+warehouse[[#This Row],[SUPPLY]]-warehouse[[#This Row],[SALE + SAMPLING]]</f>
        <v>3388</v>
      </c>
      <c r="EK48" s="449"/>
      <c r="EM48" s="74" t="s">
        <v>140</v>
      </c>
      <c r="EN48" s="74" t="s">
        <v>141</v>
      </c>
      <c r="EO48" s="431">
        <v>1528</v>
      </c>
    </row>
    <row r="49" spans="10:145" ht="15" customHeight="1">
      <c r="J49" s="17"/>
      <c r="K49" s="17"/>
      <c r="L49" s="274" t="str">
        <f t="array" ref="L49">IFERROR(IF($D$9="",IF($D$11="",IF($D$13="",INDEX(orderHistory[customer],SMALL(MATCH(ROW(orderHistory[customer]),ROW(orderHistory[customer])),ROWS($A$15:A54)+$B$3)),INDEX(orderHistory[customer],SMALL(IF(ISNUMBER(MATCH(orderHistory[order_type],$D$13,0)),MATCH(ROW(orderHistory[customer]),ROW(orderHistory[customer])),""),ROWS($A$15:A54)+$B$3))),IF($D$13="",INDEX(orderHistory[customer],SMALL(IF(ISNUMBER(MATCH(orderHistory[status],$D$11,0)),MATCH(ROW(orderHistory[customer]),ROW(orderHistory[customer])),""),ROWS($A$15:A54)+$B$3)),INDEX(orderHistory[customer],SMALL(IF(ISNUMBER(MATCH(orderHistory[status],$D$11,0)*MATCH(orderHistory[order_type],$D$13,0)),MATCH(ROW(orderHistory[customer]),ROW(orderHistory[customer])),""),ROWS($A$15:A54)+$B$3)))),IF($D$11="",IF($D$13="",INDEX(orderHistory[customer],SMALL(IF(ISNUMBER(MATCH(orderHistory[customer],$D$9,0)),MATCH(ROW(orderHistory[customer]),ROW(orderHistory[customer])),""),ROWS($A$15:A54)+$B$3)),INDEX(orderHistory[customer],SMALL(IF(ISNUMBER(MATCH(orderHistory[customer],$D$9,0)*MATCH(orderHistory[order_type],$D$13,0)),MATCH(ROW(orderHistory[customer]),ROW(orderHistory[customer])),""),ROWS($A$15:A54)+$B$3))),IF($D$13="",INDEX(orderHistory[customer],SMALL(IF(ISNUMBER(MATCH(orderHistory[customer],$D$9,0)*MATCH(orderHistory[status],$D$11,0)),MATCH(ROW(orderHistory[customer]),ROW(orderHistory[customer])),""),ROWS($A$15:A54)+$B$3)),INDEX(orderHistory[customer],SMALL(IF(ISNUMBER(MATCH(orderHistory[customer],$D$9,0)*MATCH(orderHistory[status],$D$11,0)*MATCH(orderHistory[order_type],$D$13,0)),MATCH(ROW(orderHistory[customer]),ROW(orderHistory[customer])),""),ROWS($A$15:A54)+$B$3))))),"")</f>
        <v/>
      </c>
      <c r="M49" s="391" t="str">
        <f t="array" ref="M49">IFERROR(IF($D$9="",IF($D$11="",IF($D$13="",INDEX(orderHistory[order_no],SMALL(MATCH(ROW(orderHistory[customer]),ROW(orderHistory[customer])),ROWS($A$15:A54)+$B$3)),INDEX(orderHistory[order_no],SMALL(IF(ISNUMBER(MATCH(orderHistory[order_type],$D$13,0)),MATCH(ROW(orderHistory[customer]),ROW(orderHistory[customer])),""),ROWS($A$15:A54)+$B$3))),IF($D$13="",INDEX(orderHistory[order_no],SMALL(IF(ISNUMBER(MATCH(orderHistory[status],$D$11,0)),MATCH(ROW(orderHistory[customer]),ROW(orderHistory[customer])),""),ROWS($A$15:A54)+$B$3)),INDEX(orderHistory[order_no],SMALL(IF(ISNUMBER(MATCH(orderHistory[status],$D$11,0)*MATCH(orderHistory[order_type],$D$13,0)),MATCH(ROW(orderHistory[customer]),ROW(orderHistory[customer])),""),ROWS($A$15:A54)+$B$3)))),IF($D$11="",IF($D$13="",INDEX(orderHistory[order_no],SMALL(IF(ISNUMBER(MATCH(orderHistory[customer],$D$9,0)),MATCH(ROW(orderHistory[customer]),ROW(orderHistory[customer])),""),ROWS($A$15:A54)+$B$3)),INDEX(orderHistory[order_no],SMALL(IF(ISNUMBER(MATCH(orderHistory[customer],$D$9,0)*MATCH(orderHistory[order_type],$D$13,0)),MATCH(ROW(orderHistory[customer]),ROW(orderHistory[customer])),""),ROWS($A$15:A54)+$B$3))),IF($D$13="",INDEX(orderHistory[order_no],SMALL(IF(ISNUMBER(MATCH(orderHistory[customer],$D$9,0)*MATCH(orderHistory[status],$D$11,0)),MATCH(ROW(orderHistory[customer]),ROW(orderHistory[customer])),""),ROWS($A$15:A54)+$B$3)),INDEX(orderHistory[order_no],SMALL(IF(ISNUMBER(MATCH(orderHistory[customer],$D$9,0)*MATCH(orderHistory[status],$D$11,0)*MATCH(orderHistory[order_type],$D$13,0)),MATCH(ROW(orderHistory[customer]),ROW(orderHistory[customer])),""),ROWS($A$15:A54)+$B$3))))),"")</f>
        <v/>
      </c>
      <c r="N49" s="386" t="str">
        <f t="array" ref="N49">IFERROR(IF($D$9="",IF($D$11="",IF($D$13="",INDEX(orderHistory[order_type],SMALL(MATCH(ROW(orderHistory[customer]),ROW(orderHistory[customer])),ROWS($A$15:A54)+$B$3)),INDEX(orderHistory[order_type],SMALL(IF(ISNUMBER(MATCH(orderHistory[order_type],$D$13,0)),MATCH(ROW(orderHistory[customer]),ROW(orderHistory[customer])),""),ROWS($A$15:A54)+$B$3))),IF($D$13="",INDEX(orderHistory[order_type],SMALL(IF(ISNUMBER(MATCH(orderHistory[status],$D$11,0)),MATCH(ROW(orderHistory[customer]),ROW(orderHistory[customer])),""),ROWS($A$15:A54)+$B$3)),INDEX(orderHistory[order_type],SMALL(IF(ISNUMBER(MATCH(orderHistory[status],$D$11,0)*MATCH(orderHistory[order_type],$D$13,0)),MATCH(ROW(orderHistory[customer]),ROW(orderHistory[customer])),""),ROWS($A$15:A54)+$B$3)))),IF($D$11="",IF($D$13="",INDEX(orderHistory[order_type],SMALL(IF(ISNUMBER(MATCH(orderHistory[customer],$D$9,0)),MATCH(ROW(orderHistory[customer]),ROW(orderHistory[customer])),""),ROWS($A$15:A54)+$B$3)),INDEX(orderHistory[order_type],SMALL(IF(ISNUMBER(MATCH(orderHistory[customer],$D$9,0)*MATCH(orderHistory[order_type],$D$13,0)),MATCH(ROW(orderHistory[customer]),ROW(orderHistory[customer])),""),ROWS($A$15:A54)+$B$3))),IF($D$13="",INDEX(orderHistory[order_type],SMALL(IF(ISNUMBER(MATCH(orderHistory[customer],$D$9,0)*MATCH(orderHistory[status],$D$11,0)),MATCH(ROW(orderHistory[customer]),ROW(orderHistory[customer])),""),ROWS($A$15:A54)+$B$3)),INDEX(orderHistory[order_type],SMALL(IF(ISNUMBER(MATCH(orderHistory[customer],$D$9,0)*MATCH(orderHistory[status],$D$11,0)*MATCH(orderHistory[order_type],$D$13,0)),MATCH(ROW(orderHistory[customer]),ROW(orderHistory[customer])),""),ROWS($A$15:A54)+$B$3))))),"")</f>
        <v/>
      </c>
      <c r="O49" s="275" t="str">
        <f t="array" ref="O49">IFERROR(IF($D$9="",IF($D$11="",IF($D$13="",INDEX(orderHistory[order_date],SMALL(MATCH(ROW(orderHistory[customer]),ROW(orderHistory[customer])),ROWS($A$15:A54)+$B$3)),INDEX(orderHistory[order_date],SMALL(IF(ISNUMBER(MATCH(orderHistory[order_type],$D$13,0)),MATCH(ROW(orderHistory[customer]),ROW(orderHistory[customer])),""),ROWS($A$15:A54)+$B$3))),IF($D$13="",INDEX(orderHistory[order_date],SMALL(IF(ISNUMBER(MATCH(orderHistory[status],$D$11,0)),MATCH(ROW(orderHistory[customer]),ROW(orderHistory[customer])),""),ROWS($A$15:A54)+$B$3)),INDEX(orderHistory[order_date],SMALL(IF(ISNUMBER(MATCH(orderHistory[status],$D$11,0)*MATCH(orderHistory[order_type],$D$13,0)),MATCH(ROW(orderHistory[customer]),ROW(orderHistory[customer])),""),ROWS($A$15:A54)+$B$3)))),IF($D$11="",IF($D$13="",INDEX(orderHistory[order_date],SMALL(IF(ISNUMBER(MATCH(orderHistory[customer],$D$9,0)),MATCH(ROW(orderHistory[customer]),ROW(orderHistory[customer])),""),ROWS($A$15:A54)+$B$3)),INDEX(orderHistory[order_date],SMALL(IF(ISNUMBER(MATCH(orderHistory[customer],$D$9,0)*MATCH(orderHistory[order_type],$D$13,0)),MATCH(ROW(orderHistory[customer]),ROW(orderHistory[customer])),""),ROWS($A$15:A54)+$B$3))),IF($D$13="",INDEX(orderHistory[order_date],SMALL(IF(ISNUMBER(MATCH(orderHistory[customer],$D$9,0)*MATCH(orderHistory[status],$D$11,0)),MATCH(ROW(orderHistory[customer]),ROW(orderHistory[customer])),""),ROWS($A$15:A54)+$B$3)),INDEX(orderHistory[order_date],SMALL(IF(ISNUMBER(MATCH(orderHistory[customer],$D$9,0)*MATCH(orderHistory[status],$D$11,0)*MATCH(orderHistory[order_type],$D$13,0)),MATCH(ROW(orderHistory[customer]),ROW(orderHistory[customer])),""),ROWS($A$15:A54)+$B$3))))),"")</f>
        <v/>
      </c>
      <c r="P49" s="379" t="str">
        <f t="array" ref="P49">IF(IFERROR(IF($D$9="",IF($D$11="",IF($D$13="",INDEX(orderHistory[invoice_no],SMALL(MATCH(ROW(orderHistory[customer]),ROW(orderHistory[customer])),ROWS($A$15:A54)+$B$3)),INDEX(orderHistory[invoice_no],SMALL(IF(ISNUMBER(MATCH(orderHistory[order_type],$D$13,0)),MATCH(ROW(orderHistory[customer]),ROW(orderHistory[customer])),""),ROWS($A$15:A54)+$B$3))),IF($D$13="",INDEX(orderHistory[invoice_no],SMALL(IF(ISNUMBER(MATCH(orderHistory[status],$D$11,0)),MATCH(ROW(orderHistory[customer]),ROW(orderHistory[customer])),""),ROWS($A$15:A54)+$B$3)),INDEX(orderHistory[invoice_no],SMALL(IF(ISNUMBER(MATCH(orderHistory[status],$D$11,0)*MATCH(orderHistory[order_type],$D$13,0)),MATCH(ROW(orderHistory[customer]),ROW(orderHistory[customer])),""),ROWS($A$15:A54)+$B$3)))),IF($D$11="",IF($D$13="",INDEX(orderHistory[invoice_no],SMALL(IF(ISNUMBER(MATCH(orderHistory[customer],$D$9,0)),MATCH(ROW(orderHistory[customer]),ROW(orderHistory[customer])),""),ROWS($A$15:A54)+$B$3)),INDEX(orderHistory[invoice_no],SMALL(IF(ISNUMBER(MATCH(orderHistory[customer],$D$9,0)*MATCH(orderHistory[order_type],$D$13,0)),MATCH(ROW(orderHistory[customer]),ROW(orderHistory[customer])),""),ROWS($A$15:A54)+$B$3))),IF($D$13="",INDEX(orderHistory[invoice_no],SMALL(IF(ISNUMBER(MATCH(orderHistory[customer],$D$9,0)*MATCH(orderHistory[status],$D$11,0)),MATCH(ROW(orderHistory[customer]),ROW(orderHistory[customer])),""),ROWS($A$15:A54)+$B$3)),INDEX(orderHistory[invoice_no],SMALL(IF(ISNUMBER(MATCH(orderHistory[customer],$D$9,0)*MATCH(orderHistory[status],$D$11,0)*MATCH(orderHistory[order_type],$D$13,0)),MATCH(ROW(orderHistory[customer]),ROW(orderHistory[customer])),""),ROWS($A$15:A54)+$B$3))))),"")=0,"",IFERROR(IF($D$9="",IF($D$11="",IF($D$13="",INDEX(orderHistory[invoice_no],SMALL(MATCH(ROW(orderHistory[customer]),ROW(orderHistory[customer])),ROWS($A$15:A54)+$B$3)),INDEX(orderHistory[invoice_no],SMALL(IF(ISNUMBER(MATCH(orderHistory[order_type],$D$13,0)),MATCH(ROW(orderHistory[customer]),ROW(orderHistory[customer])),""),ROWS($A$15:A54)+$B$3))),IF($D$13="",INDEX(orderHistory[invoice_no],SMALL(IF(ISNUMBER(MATCH(orderHistory[status],$D$11,0)),MATCH(ROW(orderHistory[customer]),ROW(orderHistory[customer])),""),ROWS($A$15:A54)+$B$3)),INDEX(orderHistory[invoice_no],SMALL(IF(ISNUMBER(MATCH(orderHistory[status],$D$11,0)*MATCH(orderHistory[order_type],$D$13,0)),MATCH(ROW(orderHistory[customer]),ROW(orderHistory[customer])),""),ROWS($A$15:A54)+$B$3)))),IF($D$11="",IF($D$13="",INDEX(orderHistory[invoice_no],SMALL(IF(ISNUMBER(MATCH(orderHistory[customer],$D$9,0)),MATCH(ROW(orderHistory[customer]),ROW(orderHistory[customer])),""),ROWS($A$15:A54)+$B$3)),INDEX(orderHistory[invoice_no],SMALL(IF(ISNUMBER(MATCH(orderHistory[customer],$D$9,0)*MATCH(orderHistory[order_type],$D$13,0)),MATCH(ROW(orderHistory[customer]),ROW(orderHistory[customer])),""),ROWS($A$15:A54)+$B$3))),IF($D$13="",INDEX(orderHistory[invoice_no],SMALL(IF(ISNUMBER(MATCH(orderHistory[customer],$D$9,0)*MATCH(orderHistory[status],$D$11,0)),MATCH(ROW(orderHistory[customer]),ROW(orderHistory[customer])),""),ROWS($A$15:A54)+$B$3)),INDEX(orderHistory[invoice_no],SMALL(IF(ISNUMBER(MATCH(orderHistory[customer],$D$9,0)*MATCH(orderHistory[status],$D$11,0)*MATCH(orderHistory[order_type],$D$13,0)),MATCH(ROW(orderHistory[customer]),ROW(orderHistory[customer])),""),ROWS($A$15:A54)+$B$3))))),""))</f>
        <v/>
      </c>
      <c r="Q49" s="381" t="str">
        <f t="array" ref="Q49">IF(IFERROR(IF($D$9="",IF($D$11="",IF($D$13="",INDEX(orderHistory[invoice_date],SMALL(MATCH(ROW(orderHistory[customer]),ROW(orderHistory[customer])),ROWS($A$15:A54)+$B$3)),INDEX(orderHistory[invoice_date],SMALL(IF(ISNUMBER(MATCH(orderHistory[order_type],$D$13,0)),MATCH(ROW(orderHistory[customer]),ROW(orderHistory[customer])),""),ROWS($A$15:A54)+$B$3))),IF($D$13="",INDEX(orderHistory[invoice_date],SMALL(IF(ISNUMBER(MATCH(orderHistory[status],$D$11,0)),MATCH(ROW(orderHistory[customer]),ROW(orderHistory[customer])),""),ROWS($A$15:A54)+$B$3)),INDEX(orderHistory[invoice_date],SMALL(IF(ISNUMBER(MATCH(orderHistory[status],$D$11,0)*MATCH(orderHistory[order_type],$D$13,0)),MATCH(ROW(orderHistory[customer]),ROW(orderHistory[customer])),""),ROWS($A$15:A54)+$B$3)))),IF($D$11="",IF($D$13="",INDEX(orderHistory[invoice_date],SMALL(IF(ISNUMBER(MATCH(orderHistory[customer],$D$9,0)),MATCH(ROW(orderHistory[customer]),ROW(orderHistory[customer])),""),ROWS($A$15:A54)+$B$3)),INDEX(orderHistory[invoice_date],SMALL(IF(ISNUMBER(MATCH(orderHistory[customer],$D$9,0)*MATCH(orderHistory[order_type],$D$13,0)),MATCH(ROW(orderHistory[customer]),ROW(orderHistory[customer])),""),ROWS($A$15:A54)+$B$3))),IF($D$13="",INDEX(orderHistory[invoice_date],SMALL(IF(ISNUMBER(MATCH(orderHistory[customer],$D$9,0)*MATCH(orderHistory[status],$D$11,0)),MATCH(ROW(orderHistory[customer]),ROW(orderHistory[customer])),""),ROWS($A$15:A54)+$B$3)),INDEX(orderHistory[invoice_date],SMALL(IF(ISNUMBER(MATCH(orderHistory[customer],$D$9,0)*MATCH(orderHistory[status],$D$11,0)*MATCH(orderHistory[order_type],$D$13,0)),MATCH(ROW(orderHistory[customer]),ROW(orderHistory[customer])),""),ROWS($A$15:A54)+$B$3))))),"")=0,"",IFERROR(IF($D$9="",IF($D$11="",IF($D$13="",INDEX(orderHistory[invoice_date],SMALL(MATCH(ROW(orderHistory[customer]),ROW(orderHistory[customer])),ROWS($A$15:A54)+$B$3)),INDEX(orderHistory[invoice_date],SMALL(IF(ISNUMBER(MATCH(orderHistory[order_type],$D$13,0)),MATCH(ROW(orderHistory[customer]),ROW(orderHistory[customer])),""),ROWS($A$15:A54)+$B$3))),IF($D$13="",INDEX(orderHistory[invoice_date],SMALL(IF(ISNUMBER(MATCH(orderHistory[status],$D$11,0)),MATCH(ROW(orderHistory[customer]),ROW(orderHistory[customer])),""),ROWS($A$15:A54)+$B$3)),INDEX(orderHistory[invoice_date],SMALL(IF(ISNUMBER(MATCH(orderHistory[status],$D$11,0)*MATCH(orderHistory[order_type],$D$13,0)),MATCH(ROW(orderHistory[customer]),ROW(orderHistory[customer])),""),ROWS($A$15:A54)+$B$3)))),IF($D$11="",IF($D$13="",INDEX(orderHistory[invoice_date],SMALL(IF(ISNUMBER(MATCH(orderHistory[customer],$D$9,0)),MATCH(ROW(orderHistory[customer]),ROW(orderHistory[customer])),""),ROWS($A$15:A54)+$B$3)),INDEX(orderHistory[invoice_date],SMALL(IF(ISNUMBER(MATCH(orderHistory[customer],$D$9,0)*MATCH(orderHistory[order_type],$D$13,0)),MATCH(ROW(orderHistory[customer]),ROW(orderHistory[customer])),""),ROWS($A$15:A54)+$B$3))),IF($D$13="",INDEX(orderHistory[invoice_date],SMALL(IF(ISNUMBER(MATCH(orderHistory[customer],$D$9,0)*MATCH(orderHistory[status],$D$11,0)),MATCH(ROW(orderHistory[customer]),ROW(orderHistory[customer])),""),ROWS($A$15:A54)+$B$3)),INDEX(orderHistory[invoice_date],SMALL(IF(ISNUMBER(MATCH(orderHistory[customer],$D$9,0)*MATCH(orderHistory[status],$D$11,0)*MATCH(orderHistory[order_type],$D$13,0)),MATCH(ROW(orderHistory[customer]),ROW(orderHistory[customer])),""),ROWS($A$15:A54)+$B$3))))),""))</f>
        <v/>
      </c>
      <c r="R49" s="377" t="str">
        <f t="array" ref="R49">IFERROR(IF($D$9="",IF($D$11="",IF($D$13="",INDEX(orderHistory[inv_amount],SMALL(MATCH(ROW(orderHistory[customer]),ROW(orderHistory[customer])),ROWS($A$15:A54)+$B$3)),INDEX(orderHistory[inv_amount],SMALL(IF(ISNUMBER(MATCH(orderHistory[order_type],$D$13,0)),MATCH(ROW(orderHistory[customer]),ROW(orderHistory[customer])),""),ROWS($A$15:A54)+$B$3))),IF($D$13="",INDEX(orderHistory[inv_amount],SMALL(IF(ISNUMBER(MATCH(orderHistory[status],$D$11,0)),MATCH(ROW(orderHistory[customer]),ROW(orderHistory[customer])),""),ROWS($A$15:A54)+$B$3)),INDEX(orderHistory[inv_amount],SMALL(IF(ISNUMBER(MATCH(orderHistory[status],$D$11,0)*MATCH(orderHistory[order_type],$D$13,0)),MATCH(ROW(orderHistory[customer]),ROW(orderHistory[customer])),""),ROWS($A$15:A54)+$B$3)))),IF($D$11="",IF($D$13="",INDEX(orderHistory[inv_amount],SMALL(IF(ISNUMBER(MATCH(orderHistory[customer],$D$9,0)),MATCH(ROW(orderHistory[customer]),ROW(orderHistory[customer])),""),ROWS($A$15:A54)+$B$3)),INDEX(orderHistory[inv_amount],SMALL(IF(ISNUMBER(MATCH(orderHistory[customer],$D$9,0)*MATCH(orderHistory[order_type],$D$13,0)),MATCH(ROW(orderHistory[customer]),ROW(orderHistory[customer])),""),ROWS($A$15:A54)+$B$3))),IF($D$13="",INDEX(orderHistory[inv_amount],SMALL(IF(ISNUMBER(MATCH(orderHistory[customer],$D$9,0)*MATCH(orderHistory[status],$D$11,0)),MATCH(ROW(orderHistory[customer]),ROW(orderHistory[customer])),""),ROWS($A$15:A54)+$B$3)),INDEX(orderHistory[inv_amount],SMALL(IF(ISNUMBER(MATCH(orderHistory[customer],$D$9,0)*MATCH(orderHistory[status],$D$11,0)*MATCH(orderHistory[order_type],$D$13,0)),MATCH(ROW(orderHistory[customer]),ROW(orderHistory[customer])),""),ROWS($A$15:A54)+$B$3))))),"")</f>
        <v/>
      </c>
      <c r="S49" s="383" t="str">
        <f t="shared" si="1"/>
        <v/>
      </c>
      <c r="T49" s="385" t="str">
        <f t="array" ref="T49">IFERROR(IF($D$9="",IF($D$11="",IF($D$13="",INDEX(orderHistory[payed],SMALL(MATCH(ROW(orderHistory[customer]),ROW(orderHistory[customer])),ROWS($A$15:A54)+$B$3)),INDEX(orderHistory[payed],SMALL(IF(ISNUMBER(MATCH(orderHistory[order_type],$D$13,0)),MATCH(ROW(orderHistory[customer]),ROW(orderHistory[customer])),""),ROWS($A$15:A54)+$B$3))),IF($D$13="",INDEX(orderHistory[payed],SMALL(IF(ISNUMBER(MATCH(orderHistory[status],$D$11,0)),MATCH(ROW(orderHistory[customer]),ROW(orderHistory[customer])),""),ROWS($A$15:A54)+$B$3)),INDEX(orderHistory[payed],SMALL(IF(ISNUMBER(MATCH(orderHistory[status],$D$11,0)*MATCH(orderHistory[order_type],$D$13,0)),MATCH(ROW(orderHistory[customer]),ROW(orderHistory[customer])),""),ROWS($A$15:A54)+$B$3)))),IF($D$11="",IF($D$13="",INDEX(orderHistory[payed],SMALL(IF(ISNUMBER(MATCH(orderHistory[customer],$D$9,0)),MATCH(ROW(orderHistory[customer]),ROW(orderHistory[customer])),""),ROWS($A$15:A54)+$B$3)),INDEX(orderHistory[payed],SMALL(IF(ISNUMBER(MATCH(orderHistory[customer],$D$9,0)*MATCH(orderHistory[order_type],$D$13,0)),MATCH(ROW(orderHistory[customer]),ROW(orderHistory[customer])),""),ROWS($A$15:A54)+$B$3))),IF($D$13="",INDEX(orderHistory[payed],SMALL(IF(ISNUMBER(MATCH(orderHistory[customer],$D$9,0)*MATCH(orderHistory[status],$D$11,0)),MATCH(ROW(orderHistory[customer]),ROW(orderHistory[customer])),""),ROWS($A$15:A54)+$B$3)),INDEX(orderHistory[payed],SMALL(IF(ISNUMBER(MATCH(orderHistory[customer],$D$9,0)*MATCH(orderHistory[status],$D$11,0)*MATCH(orderHistory[order_type],$D$13,0)),MATCH(ROW(orderHistory[customer]),ROW(orderHistory[customer])),""),ROWS($A$15:A54)+$B$3))))),"")</f>
        <v/>
      </c>
      <c r="U49" s="386" t="str">
        <f t="array" ref="U49">IFERROR(IF($D$9="",IF($D$11="",IF($D$13="",INDEX(orderHistory[shipping_method],SMALL(MATCH(ROW(orderHistory[customer]),ROW(orderHistory[customer])),ROWS($A$15:A54)+$B$3)),INDEX(orderHistory[shipping_method],SMALL(IF(ISNUMBER(MATCH(orderHistory[order_type],$D$13,0)),MATCH(ROW(orderHistory[customer]),ROW(orderHistory[customer])),""),ROWS($A$15:A54)+$B$3))),IF($D$13="",INDEX(orderHistory[shipping_method],SMALL(IF(ISNUMBER(MATCH(orderHistory[status],$D$11,0)),MATCH(ROW(orderHistory[customer]),ROW(orderHistory[customer])),""),ROWS($A$15:A54)+$B$3)),INDEX(orderHistory[shipping_method],SMALL(IF(ISNUMBER(MATCH(orderHistory[status],$D$11,0)*MATCH(orderHistory[order_type],$D$13,0)),MATCH(ROW(orderHistory[customer]),ROW(orderHistory[customer])),""),ROWS($A$15:A54)+$B$3)))),IF($D$11="",IF($D$13="",INDEX(orderHistory[shipping_method],SMALL(IF(ISNUMBER(MATCH(orderHistory[customer],$D$9,0)),MATCH(ROW(orderHistory[customer]),ROW(orderHistory[customer])),""),ROWS($A$15:A54)+$B$3)),INDEX(orderHistory[shipping_method],SMALL(IF(ISNUMBER(MATCH(orderHistory[customer],$D$9,0)*MATCH(orderHistory[order_type],$D$13,0)),MATCH(ROW(orderHistory[customer]),ROW(orderHistory[customer])),""),ROWS($A$15:A54)+$B$3))),IF($D$13="",INDEX(orderHistory[shipping_method],SMALL(IF(ISNUMBER(MATCH(orderHistory[customer],$D$9,0)*MATCH(orderHistory[status],$D$11,0)),MATCH(ROW(orderHistory[customer]),ROW(orderHistory[customer])),""),ROWS($A$15:A54)+$B$3)),INDEX(orderHistory[shipping_method],SMALL(IF(ISNUMBER(MATCH(orderHistory[customer],$D$9,0)*MATCH(orderHistory[status],$D$11,0)*MATCH(orderHistory[order_type],$D$13,0)),MATCH(ROW(orderHistory[customer]),ROW(orderHistory[customer])),""),ROWS($A$15:A54)+$B$3))))),"")</f>
        <v/>
      </c>
      <c r="V49" s="387" t="str">
        <f t="array" ref="V49">IFERROR(IF($D$9="",IF($D$11="",IF($D$13="",INDEX(orderHistory[status],SMALL(MATCH(ROW(orderHistory[customer]),ROW(orderHistory[customer])),ROWS($A$15:A54)+$B$3)),INDEX(orderHistory[status],SMALL(IF(ISNUMBER(MATCH(orderHistory[order_type],$D$13,0)),MATCH(ROW(orderHistory[customer]),ROW(orderHistory[customer])),""),ROWS($A$15:A54)+$B$3))),IF($D$13="",INDEX(orderHistory[status],SMALL(IF(ISNUMBER(MATCH(orderHistory[status],$D$11,0)),MATCH(ROW(orderHistory[customer]),ROW(orderHistory[customer])),""),ROWS($A$15:A54)+$B$3)),INDEX(orderHistory[status],SMALL(IF(ISNUMBER(MATCH(orderHistory[status],$D$11,0)*MATCH(orderHistory[order_type],$D$13,0)),MATCH(ROW(orderHistory[customer]),ROW(orderHistory[customer])),""),ROWS($A$15:A54)+$B$3)))),IF($D$11="",IF($D$13="",INDEX(orderHistory[status],SMALL(IF(ISNUMBER(MATCH(orderHistory[customer],$D$9,0)),MATCH(ROW(orderHistory[customer]),ROW(orderHistory[customer])),""),ROWS($A$15:A54)+$B$3)),INDEX(orderHistory[status],SMALL(IF(ISNUMBER(MATCH(orderHistory[customer],$D$9,0)*MATCH(orderHistory[order_type],$D$13,0)),MATCH(ROW(orderHistory[customer]),ROW(orderHistory[customer])),""),ROWS($A$15:A54)+$B$3))),IF($D$13="",INDEX(orderHistory[status],SMALL(IF(ISNUMBER(MATCH(orderHistory[customer],$D$9,0)*MATCH(orderHistory[status],$D$11,0)),MATCH(ROW(orderHistory[customer]),ROW(orderHistory[customer])),""),ROWS($A$15:A54)+$B$3)),INDEX(orderHistory[status],SMALL(IF(ISNUMBER(MATCH(orderHistory[customer],$D$9,0)*MATCH(orderHistory[status],$D$11,0)*MATCH(orderHistory[order_type],$D$13,0)),MATCH(ROW(orderHistory[customer]),ROW(orderHistory[customer])),""),ROWS($A$15:A54)+$B$3))))),"")</f>
        <v/>
      </c>
      <c r="W49" s="17"/>
      <c r="X49" s="17"/>
      <c r="BG49"/>
      <c r="BK49" s="146"/>
      <c r="BL49" s="147"/>
      <c r="BM49" s="148"/>
      <c r="BN49" s="147"/>
      <c r="BO49" s="148"/>
      <c r="BZ49" s="304"/>
      <c r="CA49" s="270" t="str">
        <f>IF(BZ49="","",VLOOKUP(BZ49,bhpc_data[],7,FALSE))</f>
        <v/>
      </c>
      <c r="CB49" s="303"/>
      <c r="CC49" s="642"/>
      <c r="CD49" s="297"/>
      <c r="CE49" s="645"/>
      <c r="CF49" s="298"/>
      <c r="CG49" s="301" t="str">
        <f>IFERROR(ROUNDUP(CB49/VLOOKUP(BZ49,bhpc_data[],9,FALSE),0)+ROUNDUP(CD49/VLOOKUP(BZ49,bhpc_data[],9,FALSE),0),"")</f>
        <v/>
      </c>
      <c r="CH49" s="302" t="str">
        <f>IFERROR(ROUNDUP(CD49/VLOOKUP(BZ49,bhpc_data[],9,FALSE),0),"")</f>
        <v/>
      </c>
      <c r="CI49" s="302" t="str">
        <f>IFERROR(ROUNDUP(CF49/VLOOKUP(BZ49,bhpc_data[],9,FALSE),0),"")</f>
        <v/>
      </c>
      <c r="CJ49" s="302" t="str">
        <f>IFERROR(((CB49+CD49+CF49)/VLOOKUP(BZ49,bhpc_data[],9,FALSE))*VLOOKUP(BZ49,bhpc_data[],17,FALSE),"")</f>
        <v/>
      </c>
      <c r="CK49" s="302" t="str">
        <f>IFERROR(((CB49+CD49+CF49)/VLOOKUP(BZ49,bhpc_data[],9,FALSE))*VLOOKUP(BZ49,bhpc_data[],18,FALSE),"")</f>
        <v/>
      </c>
      <c r="CL49" s="346" t="str">
        <f>IFERROR((CB49+CD49)/VLOOKUP(BZ49,bhpc_data[],9,FALSE)*VLOOKUP(BZ49,bhpc_data[],14,FALSE)*VLOOKUP(BZ49,bhpc_data[],15,FALSE)*VLOOKUP(BZ49,bhpc_data[],16,FALSE)/1000000000,"")</f>
        <v/>
      </c>
      <c r="CM49" s="409" t="str">
        <f>IFERROR(VLOOKUP(BZ49,bhpc_data[],2,FALSE),"")</f>
        <v/>
      </c>
      <c r="CN49" s="409" t="str">
        <f>IFERROR(VLOOKUP(BZ49,bhpc_data[],19,FALSE),"")</f>
        <v/>
      </c>
      <c r="CO49" s="653" t="str">
        <f>IFERROR(VLOOKUP(BZ49,bhpc_data[],6,FALSE),"")</f>
        <v/>
      </c>
      <c r="CP49" s="654" t="str">
        <f>IFERROR(VLOOKUP(BZ49,inventory[],4,FALSE),"")</f>
        <v/>
      </c>
      <c r="CQ49" s="651" t="str">
        <f>IFERROR(IF(BZ49="","",IF($BX$15="SALE",VLOOKUP(BZ49,inventory[],5,FALSE),IF($BX$15="SAMPLING",VLOOKUP(BZ49,inventory[],5,FALSE),""))),"")</f>
        <v/>
      </c>
      <c r="CR49" s="652" t="str">
        <f>IFERROR(IF(BZ49="","",(CB49+CD49+CF49)*CQ49),"")</f>
        <v/>
      </c>
      <c r="CS49" s="557" t="str">
        <f>IF(BZ49="","",CB49*CC49+CD49*CE49)</f>
        <v/>
      </c>
      <c r="CU49" s="607"/>
      <c r="CV49" s="411" t="s">
        <v>189</v>
      </c>
      <c r="CW49" s="411" t="s">
        <v>145</v>
      </c>
      <c r="CX49" s="411"/>
      <c r="CY49" s="411"/>
      <c r="CZ49" s="608"/>
      <c r="DA49" s="540" t="str">
        <f>IFERROR(VLOOKUP(BZ49,bhpc_data[],22,FALSE),"")</f>
        <v/>
      </c>
      <c r="EE49" s="454" t="s">
        <v>123</v>
      </c>
      <c r="EF49" s="447" t="str">
        <f>VLOOKUP(EE49,bhpc_data[],7,FALSE)</f>
        <v>BHPC WOMEN 8 EDP 100ML</v>
      </c>
      <c r="EG49" s="555">
        <f>IFERROR(VLOOKUP(EE49,inventory[],4,FALSE),0)</f>
        <v>6410</v>
      </c>
      <c r="EH49" s="555">
        <f>IFERROR(VLOOKUP(warehouse[[#This Row],[SKU]],$EQ$10:$ES$38,3,FALSE),0)</f>
        <v>0</v>
      </c>
      <c r="EI49" s="555">
        <f>IFERROR(VLOOKUP(warehouse[[#This Row],[SKU]],$EM$10:$EO$61,3,FALSE),0)</f>
        <v>2672</v>
      </c>
      <c r="EJ49" s="555">
        <f>warehouse[[#This Row],[T-1]]+warehouse[[#This Row],[SUPPLY]]-warehouse[[#This Row],[SALE + SAMPLING]]</f>
        <v>3738</v>
      </c>
      <c r="EK49" s="449"/>
      <c r="EM49" s="74" t="s">
        <v>142</v>
      </c>
      <c r="EN49" s="74" t="s">
        <v>143</v>
      </c>
      <c r="EO49" s="431">
        <v>1574</v>
      </c>
    </row>
    <row r="50" spans="10:145" ht="15" customHeight="1">
      <c r="J50" s="17"/>
      <c r="K50" s="17"/>
      <c r="L50" s="274" t="str">
        <f t="array" ref="L50">IFERROR(IF($D$9="",IF($D$11="",IF($D$13="",INDEX(orderHistory[customer],SMALL(MATCH(ROW(orderHistory[customer]),ROW(orderHistory[customer])),ROWS($A$15:A55)+$B$3)),INDEX(orderHistory[customer],SMALL(IF(ISNUMBER(MATCH(orderHistory[order_type],$D$13,0)),MATCH(ROW(orderHistory[customer]),ROW(orderHistory[customer])),""),ROWS($A$15:A55)+$B$3))),IF($D$13="",INDEX(orderHistory[customer],SMALL(IF(ISNUMBER(MATCH(orderHistory[status],$D$11,0)),MATCH(ROW(orderHistory[customer]),ROW(orderHistory[customer])),""),ROWS($A$15:A55)+$B$3)),INDEX(orderHistory[customer],SMALL(IF(ISNUMBER(MATCH(orderHistory[status],$D$11,0)*MATCH(orderHistory[order_type],$D$13,0)),MATCH(ROW(orderHistory[customer]),ROW(orderHistory[customer])),""),ROWS($A$15:A55)+$B$3)))),IF($D$11="",IF($D$13="",INDEX(orderHistory[customer],SMALL(IF(ISNUMBER(MATCH(orderHistory[customer],$D$9,0)),MATCH(ROW(orderHistory[customer]),ROW(orderHistory[customer])),""),ROWS($A$15:A55)+$B$3)),INDEX(orderHistory[customer],SMALL(IF(ISNUMBER(MATCH(orderHistory[customer],$D$9,0)*MATCH(orderHistory[order_type],$D$13,0)),MATCH(ROW(orderHistory[customer]),ROW(orderHistory[customer])),""),ROWS($A$15:A55)+$B$3))),IF($D$13="",INDEX(orderHistory[customer],SMALL(IF(ISNUMBER(MATCH(orderHistory[customer],$D$9,0)*MATCH(orderHistory[status],$D$11,0)),MATCH(ROW(orderHistory[customer]),ROW(orderHistory[customer])),""),ROWS($A$15:A55)+$B$3)),INDEX(orderHistory[customer],SMALL(IF(ISNUMBER(MATCH(orderHistory[customer],$D$9,0)*MATCH(orderHistory[status],$D$11,0)*MATCH(orderHistory[order_type],$D$13,0)),MATCH(ROW(orderHistory[customer]),ROW(orderHistory[customer])),""),ROWS($A$15:A55)+$B$3))))),"")</f>
        <v/>
      </c>
      <c r="M50" s="391" t="str">
        <f t="array" ref="M50">IFERROR(IF($D$9="",IF($D$11="",IF($D$13="",INDEX(orderHistory[order_no],SMALL(MATCH(ROW(orderHistory[customer]),ROW(orderHistory[customer])),ROWS($A$15:A55)+$B$3)),INDEX(orderHistory[order_no],SMALL(IF(ISNUMBER(MATCH(orderHistory[order_type],$D$13,0)),MATCH(ROW(orderHistory[customer]),ROW(orderHistory[customer])),""),ROWS($A$15:A55)+$B$3))),IF($D$13="",INDEX(orderHistory[order_no],SMALL(IF(ISNUMBER(MATCH(orderHistory[status],$D$11,0)),MATCH(ROW(orderHistory[customer]),ROW(orderHistory[customer])),""),ROWS($A$15:A55)+$B$3)),INDEX(orderHistory[order_no],SMALL(IF(ISNUMBER(MATCH(orderHistory[status],$D$11,0)*MATCH(orderHistory[order_type],$D$13,0)),MATCH(ROW(orderHistory[customer]),ROW(orderHistory[customer])),""),ROWS($A$15:A55)+$B$3)))),IF($D$11="",IF($D$13="",INDEX(orderHistory[order_no],SMALL(IF(ISNUMBER(MATCH(orderHistory[customer],$D$9,0)),MATCH(ROW(orderHistory[customer]),ROW(orderHistory[customer])),""),ROWS($A$15:A55)+$B$3)),INDEX(orderHistory[order_no],SMALL(IF(ISNUMBER(MATCH(orderHistory[customer],$D$9,0)*MATCH(orderHistory[order_type],$D$13,0)),MATCH(ROW(orderHistory[customer]),ROW(orderHistory[customer])),""),ROWS($A$15:A55)+$B$3))),IF($D$13="",INDEX(orderHistory[order_no],SMALL(IF(ISNUMBER(MATCH(orderHistory[customer],$D$9,0)*MATCH(orderHistory[status],$D$11,0)),MATCH(ROW(orderHistory[customer]),ROW(orderHistory[customer])),""),ROWS($A$15:A55)+$B$3)),INDEX(orderHistory[order_no],SMALL(IF(ISNUMBER(MATCH(orderHistory[customer],$D$9,0)*MATCH(orderHistory[status],$D$11,0)*MATCH(orderHistory[order_type],$D$13,0)),MATCH(ROW(orderHistory[customer]),ROW(orderHistory[customer])),""),ROWS($A$15:A55)+$B$3))))),"")</f>
        <v/>
      </c>
      <c r="N50" s="386" t="str">
        <f t="array" ref="N50">IFERROR(IF($D$9="",IF($D$11="",IF($D$13="",INDEX(orderHistory[order_type],SMALL(MATCH(ROW(orderHistory[customer]),ROW(orderHistory[customer])),ROWS($A$15:A55)+$B$3)),INDEX(orderHistory[order_type],SMALL(IF(ISNUMBER(MATCH(orderHistory[order_type],$D$13,0)),MATCH(ROW(orderHistory[customer]),ROW(orderHistory[customer])),""),ROWS($A$15:A55)+$B$3))),IF($D$13="",INDEX(orderHistory[order_type],SMALL(IF(ISNUMBER(MATCH(orderHistory[status],$D$11,0)),MATCH(ROW(orderHistory[customer]),ROW(orderHistory[customer])),""),ROWS($A$15:A55)+$B$3)),INDEX(orderHistory[order_type],SMALL(IF(ISNUMBER(MATCH(orderHistory[status],$D$11,0)*MATCH(orderHistory[order_type],$D$13,0)),MATCH(ROW(orderHistory[customer]),ROW(orderHistory[customer])),""),ROWS($A$15:A55)+$B$3)))),IF($D$11="",IF($D$13="",INDEX(orderHistory[order_type],SMALL(IF(ISNUMBER(MATCH(orderHistory[customer],$D$9,0)),MATCH(ROW(orderHistory[customer]),ROW(orderHistory[customer])),""),ROWS($A$15:A55)+$B$3)),INDEX(orderHistory[order_type],SMALL(IF(ISNUMBER(MATCH(orderHistory[customer],$D$9,0)*MATCH(orderHistory[order_type],$D$13,0)),MATCH(ROW(orderHistory[customer]),ROW(orderHistory[customer])),""),ROWS($A$15:A55)+$B$3))),IF($D$13="",INDEX(orderHistory[order_type],SMALL(IF(ISNUMBER(MATCH(orderHistory[customer],$D$9,0)*MATCH(orderHistory[status],$D$11,0)),MATCH(ROW(orderHistory[customer]),ROW(orderHistory[customer])),""),ROWS($A$15:A55)+$B$3)),INDEX(orderHistory[order_type],SMALL(IF(ISNUMBER(MATCH(orderHistory[customer],$D$9,0)*MATCH(orderHistory[status],$D$11,0)*MATCH(orderHistory[order_type],$D$13,0)),MATCH(ROW(orderHistory[customer]),ROW(orderHistory[customer])),""),ROWS($A$15:A55)+$B$3))))),"")</f>
        <v/>
      </c>
      <c r="O50" s="275" t="str">
        <f t="array" ref="O50">IFERROR(IF($D$9="",IF($D$11="",IF($D$13="",INDEX(orderHistory[order_date],SMALL(MATCH(ROW(orderHistory[customer]),ROW(orderHistory[customer])),ROWS($A$15:A55)+$B$3)),INDEX(orderHistory[order_date],SMALL(IF(ISNUMBER(MATCH(orderHistory[order_type],$D$13,0)),MATCH(ROW(orderHistory[customer]),ROW(orderHistory[customer])),""),ROWS($A$15:A55)+$B$3))),IF($D$13="",INDEX(orderHistory[order_date],SMALL(IF(ISNUMBER(MATCH(orderHistory[status],$D$11,0)),MATCH(ROW(orderHistory[customer]),ROW(orderHistory[customer])),""),ROWS($A$15:A55)+$B$3)),INDEX(orderHistory[order_date],SMALL(IF(ISNUMBER(MATCH(orderHistory[status],$D$11,0)*MATCH(orderHistory[order_type],$D$13,0)),MATCH(ROW(orderHistory[customer]),ROW(orderHistory[customer])),""),ROWS($A$15:A55)+$B$3)))),IF($D$11="",IF($D$13="",INDEX(orderHistory[order_date],SMALL(IF(ISNUMBER(MATCH(orderHistory[customer],$D$9,0)),MATCH(ROW(orderHistory[customer]),ROW(orderHistory[customer])),""),ROWS($A$15:A55)+$B$3)),INDEX(orderHistory[order_date],SMALL(IF(ISNUMBER(MATCH(orderHistory[customer],$D$9,0)*MATCH(orderHistory[order_type],$D$13,0)),MATCH(ROW(orderHistory[customer]),ROW(orderHistory[customer])),""),ROWS($A$15:A55)+$B$3))),IF($D$13="",INDEX(orderHistory[order_date],SMALL(IF(ISNUMBER(MATCH(orderHistory[customer],$D$9,0)*MATCH(orderHistory[status],$D$11,0)),MATCH(ROW(orderHistory[customer]),ROW(orderHistory[customer])),""),ROWS($A$15:A55)+$B$3)),INDEX(orderHistory[order_date],SMALL(IF(ISNUMBER(MATCH(orderHistory[customer],$D$9,0)*MATCH(orderHistory[status],$D$11,0)*MATCH(orderHistory[order_type],$D$13,0)),MATCH(ROW(orderHistory[customer]),ROW(orderHistory[customer])),""),ROWS($A$15:A55)+$B$3))))),"")</f>
        <v/>
      </c>
      <c r="P50" s="379" t="str">
        <f t="array" ref="P50">IF(IFERROR(IF($D$9="",IF($D$11="",IF($D$13="",INDEX(orderHistory[invoice_no],SMALL(MATCH(ROW(orderHistory[customer]),ROW(orderHistory[customer])),ROWS($A$15:A55)+$B$3)),INDEX(orderHistory[invoice_no],SMALL(IF(ISNUMBER(MATCH(orderHistory[order_type],$D$13,0)),MATCH(ROW(orderHistory[customer]),ROW(orderHistory[customer])),""),ROWS($A$15:A55)+$B$3))),IF($D$13="",INDEX(orderHistory[invoice_no],SMALL(IF(ISNUMBER(MATCH(orderHistory[status],$D$11,0)),MATCH(ROW(orderHistory[customer]),ROW(orderHistory[customer])),""),ROWS($A$15:A55)+$B$3)),INDEX(orderHistory[invoice_no],SMALL(IF(ISNUMBER(MATCH(orderHistory[status],$D$11,0)*MATCH(orderHistory[order_type],$D$13,0)),MATCH(ROW(orderHistory[customer]),ROW(orderHistory[customer])),""),ROWS($A$15:A55)+$B$3)))),IF($D$11="",IF($D$13="",INDEX(orderHistory[invoice_no],SMALL(IF(ISNUMBER(MATCH(orderHistory[customer],$D$9,0)),MATCH(ROW(orderHistory[customer]),ROW(orderHistory[customer])),""),ROWS($A$15:A55)+$B$3)),INDEX(orderHistory[invoice_no],SMALL(IF(ISNUMBER(MATCH(orderHistory[customer],$D$9,0)*MATCH(orderHistory[order_type],$D$13,0)),MATCH(ROW(orderHistory[customer]),ROW(orderHistory[customer])),""),ROWS($A$15:A55)+$B$3))),IF($D$13="",INDEX(orderHistory[invoice_no],SMALL(IF(ISNUMBER(MATCH(orderHistory[customer],$D$9,0)*MATCH(orderHistory[status],$D$11,0)),MATCH(ROW(orderHistory[customer]),ROW(orderHistory[customer])),""),ROWS($A$15:A55)+$B$3)),INDEX(orderHistory[invoice_no],SMALL(IF(ISNUMBER(MATCH(orderHistory[customer],$D$9,0)*MATCH(orderHistory[status],$D$11,0)*MATCH(orderHistory[order_type],$D$13,0)),MATCH(ROW(orderHistory[customer]),ROW(orderHistory[customer])),""),ROWS($A$15:A55)+$B$3))))),"")=0,"",IFERROR(IF($D$9="",IF($D$11="",IF($D$13="",INDEX(orderHistory[invoice_no],SMALL(MATCH(ROW(orderHistory[customer]),ROW(orderHistory[customer])),ROWS($A$15:A55)+$B$3)),INDEX(orderHistory[invoice_no],SMALL(IF(ISNUMBER(MATCH(orderHistory[order_type],$D$13,0)),MATCH(ROW(orderHistory[customer]),ROW(orderHistory[customer])),""),ROWS($A$15:A55)+$B$3))),IF($D$13="",INDEX(orderHistory[invoice_no],SMALL(IF(ISNUMBER(MATCH(orderHistory[status],$D$11,0)),MATCH(ROW(orderHistory[customer]),ROW(orderHistory[customer])),""),ROWS($A$15:A55)+$B$3)),INDEX(orderHistory[invoice_no],SMALL(IF(ISNUMBER(MATCH(orderHistory[status],$D$11,0)*MATCH(orderHistory[order_type],$D$13,0)),MATCH(ROW(orderHistory[customer]),ROW(orderHistory[customer])),""),ROWS($A$15:A55)+$B$3)))),IF($D$11="",IF($D$13="",INDEX(orderHistory[invoice_no],SMALL(IF(ISNUMBER(MATCH(orderHistory[customer],$D$9,0)),MATCH(ROW(orderHistory[customer]),ROW(orderHistory[customer])),""),ROWS($A$15:A55)+$B$3)),INDEX(orderHistory[invoice_no],SMALL(IF(ISNUMBER(MATCH(orderHistory[customer],$D$9,0)*MATCH(orderHistory[order_type],$D$13,0)),MATCH(ROW(orderHistory[customer]),ROW(orderHistory[customer])),""),ROWS($A$15:A55)+$B$3))),IF($D$13="",INDEX(orderHistory[invoice_no],SMALL(IF(ISNUMBER(MATCH(orderHistory[customer],$D$9,0)*MATCH(orderHistory[status],$D$11,0)),MATCH(ROW(orderHistory[customer]),ROW(orderHistory[customer])),""),ROWS($A$15:A55)+$B$3)),INDEX(orderHistory[invoice_no],SMALL(IF(ISNUMBER(MATCH(orderHistory[customer],$D$9,0)*MATCH(orderHistory[status],$D$11,0)*MATCH(orderHistory[order_type],$D$13,0)),MATCH(ROW(orderHistory[customer]),ROW(orderHistory[customer])),""),ROWS($A$15:A55)+$B$3))))),""))</f>
        <v/>
      </c>
      <c r="Q50" s="381" t="str">
        <f t="array" ref="Q50">IF(IFERROR(IF($D$9="",IF($D$11="",IF($D$13="",INDEX(orderHistory[invoice_date],SMALL(MATCH(ROW(orderHistory[customer]),ROW(orderHistory[customer])),ROWS($A$15:A55)+$B$3)),INDEX(orderHistory[invoice_date],SMALL(IF(ISNUMBER(MATCH(orderHistory[order_type],$D$13,0)),MATCH(ROW(orderHistory[customer]),ROW(orderHistory[customer])),""),ROWS($A$15:A55)+$B$3))),IF($D$13="",INDEX(orderHistory[invoice_date],SMALL(IF(ISNUMBER(MATCH(orderHistory[status],$D$11,0)),MATCH(ROW(orderHistory[customer]),ROW(orderHistory[customer])),""),ROWS($A$15:A55)+$B$3)),INDEX(orderHistory[invoice_date],SMALL(IF(ISNUMBER(MATCH(orderHistory[status],$D$11,0)*MATCH(orderHistory[order_type],$D$13,0)),MATCH(ROW(orderHistory[customer]),ROW(orderHistory[customer])),""),ROWS($A$15:A55)+$B$3)))),IF($D$11="",IF($D$13="",INDEX(orderHistory[invoice_date],SMALL(IF(ISNUMBER(MATCH(orderHistory[customer],$D$9,0)),MATCH(ROW(orderHistory[customer]),ROW(orderHistory[customer])),""),ROWS($A$15:A55)+$B$3)),INDEX(orderHistory[invoice_date],SMALL(IF(ISNUMBER(MATCH(orderHistory[customer],$D$9,0)*MATCH(orderHistory[order_type],$D$13,0)),MATCH(ROW(orderHistory[customer]),ROW(orderHistory[customer])),""),ROWS($A$15:A55)+$B$3))),IF($D$13="",INDEX(orderHistory[invoice_date],SMALL(IF(ISNUMBER(MATCH(orderHistory[customer],$D$9,0)*MATCH(orderHistory[status],$D$11,0)),MATCH(ROW(orderHistory[customer]),ROW(orderHistory[customer])),""),ROWS($A$15:A55)+$B$3)),INDEX(orderHistory[invoice_date],SMALL(IF(ISNUMBER(MATCH(orderHistory[customer],$D$9,0)*MATCH(orderHistory[status],$D$11,0)*MATCH(orderHistory[order_type],$D$13,0)),MATCH(ROW(orderHistory[customer]),ROW(orderHistory[customer])),""),ROWS($A$15:A55)+$B$3))))),"")=0,"",IFERROR(IF($D$9="",IF($D$11="",IF($D$13="",INDEX(orderHistory[invoice_date],SMALL(MATCH(ROW(orderHistory[customer]),ROW(orderHistory[customer])),ROWS($A$15:A55)+$B$3)),INDEX(orderHistory[invoice_date],SMALL(IF(ISNUMBER(MATCH(orderHistory[order_type],$D$13,0)),MATCH(ROW(orderHistory[customer]),ROW(orderHistory[customer])),""),ROWS($A$15:A55)+$B$3))),IF($D$13="",INDEX(orderHistory[invoice_date],SMALL(IF(ISNUMBER(MATCH(orderHistory[status],$D$11,0)),MATCH(ROW(orderHistory[customer]),ROW(orderHistory[customer])),""),ROWS($A$15:A55)+$B$3)),INDEX(orderHistory[invoice_date],SMALL(IF(ISNUMBER(MATCH(orderHistory[status],$D$11,0)*MATCH(orderHistory[order_type],$D$13,0)),MATCH(ROW(orderHistory[customer]),ROW(orderHistory[customer])),""),ROWS($A$15:A55)+$B$3)))),IF($D$11="",IF($D$13="",INDEX(orderHistory[invoice_date],SMALL(IF(ISNUMBER(MATCH(orderHistory[customer],$D$9,0)),MATCH(ROW(orderHistory[customer]),ROW(orderHistory[customer])),""),ROWS($A$15:A55)+$B$3)),INDEX(orderHistory[invoice_date],SMALL(IF(ISNUMBER(MATCH(orderHistory[customer],$D$9,0)*MATCH(orderHistory[order_type],$D$13,0)),MATCH(ROW(orderHistory[customer]),ROW(orderHistory[customer])),""),ROWS($A$15:A55)+$B$3))),IF($D$13="",INDEX(orderHistory[invoice_date],SMALL(IF(ISNUMBER(MATCH(orderHistory[customer],$D$9,0)*MATCH(orderHistory[status],$D$11,0)),MATCH(ROW(orderHistory[customer]),ROW(orderHistory[customer])),""),ROWS($A$15:A55)+$B$3)),INDEX(orderHistory[invoice_date],SMALL(IF(ISNUMBER(MATCH(orderHistory[customer],$D$9,0)*MATCH(orderHistory[status],$D$11,0)*MATCH(orderHistory[order_type],$D$13,0)),MATCH(ROW(orderHistory[customer]),ROW(orderHistory[customer])),""),ROWS($A$15:A55)+$B$3))))),""))</f>
        <v/>
      </c>
      <c r="R50" s="377" t="str">
        <f t="array" ref="R50">IFERROR(IF($D$9="",IF($D$11="",IF($D$13="",INDEX(orderHistory[inv_amount],SMALL(MATCH(ROW(orderHistory[customer]),ROW(orderHistory[customer])),ROWS($A$15:A55)+$B$3)),INDEX(orderHistory[inv_amount],SMALL(IF(ISNUMBER(MATCH(orderHistory[order_type],$D$13,0)),MATCH(ROW(orderHistory[customer]),ROW(orderHistory[customer])),""),ROWS($A$15:A55)+$B$3))),IF($D$13="",INDEX(orderHistory[inv_amount],SMALL(IF(ISNUMBER(MATCH(orderHistory[status],$D$11,0)),MATCH(ROW(orderHistory[customer]),ROW(orderHistory[customer])),""),ROWS($A$15:A55)+$B$3)),INDEX(orderHistory[inv_amount],SMALL(IF(ISNUMBER(MATCH(orderHistory[status],$D$11,0)*MATCH(orderHistory[order_type],$D$13,0)),MATCH(ROW(orderHistory[customer]),ROW(orderHistory[customer])),""),ROWS($A$15:A55)+$B$3)))),IF($D$11="",IF($D$13="",INDEX(orderHistory[inv_amount],SMALL(IF(ISNUMBER(MATCH(orderHistory[customer],$D$9,0)),MATCH(ROW(orderHistory[customer]),ROW(orderHistory[customer])),""),ROWS($A$15:A55)+$B$3)),INDEX(orderHistory[inv_amount],SMALL(IF(ISNUMBER(MATCH(orderHistory[customer],$D$9,0)*MATCH(orderHistory[order_type],$D$13,0)),MATCH(ROW(orderHistory[customer]),ROW(orderHistory[customer])),""),ROWS($A$15:A55)+$B$3))),IF($D$13="",INDEX(orderHistory[inv_amount],SMALL(IF(ISNUMBER(MATCH(orderHistory[customer],$D$9,0)*MATCH(orderHistory[status],$D$11,0)),MATCH(ROW(orderHistory[customer]),ROW(orderHistory[customer])),""),ROWS($A$15:A55)+$B$3)),INDEX(orderHistory[inv_amount],SMALL(IF(ISNUMBER(MATCH(orderHistory[customer],$D$9,0)*MATCH(orderHistory[status],$D$11,0)*MATCH(orderHistory[order_type],$D$13,0)),MATCH(ROW(orderHistory[customer]),ROW(orderHistory[customer])),""),ROWS($A$15:A55)+$B$3))))),"")</f>
        <v/>
      </c>
      <c r="S50" s="383" t="str">
        <f t="shared" si="1"/>
        <v/>
      </c>
      <c r="T50" s="385" t="str">
        <f t="array" ref="T50">IFERROR(IF($D$9="",IF($D$11="",IF($D$13="",INDEX(orderHistory[payed],SMALL(MATCH(ROW(orderHistory[customer]),ROW(orderHistory[customer])),ROWS($A$15:A55)+$B$3)),INDEX(orderHistory[payed],SMALL(IF(ISNUMBER(MATCH(orderHistory[order_type],$D$13,0)),MATCH(ROW(orderHistory[customer]),ROW(orderHistory[customer])),""),ROWS($A$15:A55)+$B$3))),IF($D$13="",INDEX(orderHistory[payed],SMALL(IF(ISNUMBER(MATCH(orderHistory[status],$D$11,0)),MATCH(ROW(orderHistory[customer]),ROW(orderHistory[customer])),""),ROWS($A$15:A55)+$B$3)),INDEX(orderHistory[payed],SMALL(IF(ISNUMBER(MATCH(orderHistory[status],$D$11,0)*MATCH(orderHistory[order_type],$D$13,0)),MATCH(ROW(orderHistory[customer]),ROW(orderHistory[customer])),""),ROWS($A$15:A55)+$B$3)))),IF($D$11="",IF($D$13="",INDEX(orderHistory[payed],SMALL(IF(ISNUMBER(MATCH(orderHistory[customer],$D$9,0)),MATCH(ROW(orderHistory[customer]),ROW(orderHistory[customer])),""),ROWS($A$15:A55)+$B$3)),INDEX(orderHistory[payed],SMALL(IF(ISNUMBER(MATCH(orderHistory[customer],$D$9,0)*MATCH(orderHistory[order_type],$D$13,0)),MATCH(ROW(orderHistory[customer]),ROW(orderHistory[customer])),""),ROWS($A$15:A55)+$B$3))),IF($D$13="",INDEX(orderHistory[payed],SMALL(IF(ISNUMBER(MATCH(orderHistory[customer],$D$9,0)*MATCH(orderHistory[status],$D$11,0)),MATCH(ROW(orderHistory[customer]),ROW(orderHistory[customer])),""),ROWS($A$15:A55)+$B$3)),INDEX(orderHistory[payed],SMALL(IF(ISNUMBER(MATCH(orderHistory[customer],$D$9,0)*MATCH(orderHistory[status],$D$11,0)*MATCH(orderHistory[order_type],$D$13,0)),MATCH(ROW(orderHistory[customer]),ROW(orderHistory[customer])),""),ROWS($A$15:A55)+$B$3))))),"")</f>
        <v/>
      </c>
      <c r="U50" s="386" t="str">
        <f t="array" ref="U50">IFERROR(IF($D$9="",IF($D$11="",IF($D$13="",INDEX(orderHistory[shipping_method],SMALL(MATCH(ROW(orderHistory[customer]),ROW(orderHistory[customer])),ROWS($A$15:A55)+$B$3)),INDEX(orderHistory[shipping_method],SMALL(IF(ISNUMBER(MATCH(orderHistory[order_type],$D$13,0)),MATCH(ROW(orderHistory[customer]),ROW(orderHistory[customer])),""),ROWS($A$15:A55)+$B$3))),IF($D$13="",INDEX(orderHistory[shipping_method],SMALL(IF(ISNUMBER(MATCH(orderHistory[status],$D$11,0)),MATCH(ROW(orderHistory[customer]),ROW(orderHistory[customer])),""),ROWS($A$15:A55)+$B$3)),INDEX(orderHistory[shipping_method],SMALL(IF(ISNUMBER(MATCH(orderHistory[status],$D$11,0)*MATCH(orderHistory[order_type],$D$13,0)),MATCH(ROW(orderHistory[customer]),ROW(orderHistory[customer])),""),ROWS($A$15:A55)+$B$3)))),IF($D$11="",IF($D$13="",INDEX(orderHistory[shipping_method],SMALL(IF(ISNUMBER(MATCH(orderHistory[customer],$D$9,0)),MATCH(ROW(orderHistory[customer]),ROW(orderHistory[customer])),""),ROWS($A$15:A55)+$B$3)),INDEX(orderHistory[shipping_method],SMALL(IF(ISNUMBER(MATCH(orderHistory[customer],$D$9,0)*MATCH(orderHistory[order_type],$D$13,0)),MATCH(ROW(orderHistory[customer]),ROW(orderHistory[customer])),""),ROWS($A$15:A55)+$B$3))),IF($D$13="",INDEX(orderHistory[shipping_method],SMALL(IF(ISNUMBER(MATCH(orderHistory[customer],$D$9,0)*MATCH(orderHistory[status],$D$11,0)),MATCH(ROW(orderHistory[customer]),ROW(orderHistory[customer])),""),ROWS($A$15:A55)+$B$3)),INDEX(orderHistory[shipping_method],SMALL(IF(ISNUMBER(MATCH(orderHistory[customer],$D$9,0)*MATCH(orderHistory[status],$D$11,0)*MATCH(orderHistory[order_type],$D$13,0)),MATCH(ROW(orderHistory[customer]),ROW(orderHistory[customer])),""),ROWS($A$15:A55)+$B$3))))),"")</f>
        <v/>
      </c>
      <c r="V50" s="387" t="str">
        <f t="array" ref="V50">IFERROR(IF($D$9="",IF($D$11="",IF($D$13="",INDEX(orderHistory[status],SMALL(MATCH(ROW(orderHistory[customer]),ROW(orderHistory[customer])),ROWS($A$15:A55)+$B$3)),INDEX(orderHistory[status],SMALL(IF(ISNUMBER(MATCH(orderHistory[order_type],$D$13,0)),MATCH(ROW(orderHistory[customer]),ROW(orderHistory[customer])),""),ROWS($A$15:A55)+$B$3))),IF($D$13="",INDEX(orderHistory[status],SMALL(IF(ISNUMBER(MATCH(orderHistory[status],$D$11,0)),MATCH(ROW(orderHistory[customer]),ROW(orderHistory[customer])),""),ROWS($A$15:A55)+$B$3)),INDEX(orderHistory[status],SMALL(IF(ISNUMBER(MATCH(orderHistory[status],$D$11,0)*MATCH(orderHistory[order_type],$D$13,0)),MATCH(ROW(orderHistory[customer]),ROW(orderHistory[customer])),""),ROWS($A$15:A55)+$B$3)))),IF($D$11="",IF($D$13="",INDEX(orderHistory[status],SMALL(IF(ISNUMBER(MATCH(orderHistory[customer],$D$9,0)),MATCH(ROW(orderHistory[customer]),ROW(orderHistory[customer])),""),ROWS($A$15:A55)+$B$3)),INDEX(orderHistory[status],SMALL(IF(ISNUMBER(MATCH(orderHistory[customer],$D$9,0)*MATCH(orderHistory[order_type],$D$13,0)),MATCH(ROW(orderHistory[customer]),ROW(orderHistory[customer])),""),ROWS($A$15:A55)+$B$3))),IF($D$13="",INDEX(orderHistory[status],SMALL(IF(ISNUMBER(MATCH(orderHistory[customer],$D$9,0)*MATCH(orderHistory[status],$D$11,0)),MATCH(ROW(orderHistory[customer]),ROW(orderHistory[customer])),""),ROWS($A$15:A55)+$B$3)),INDEX(orderHistory[status],SMALL(IF(ISNUMBER(MATCH(orderHistory[customer],$D$9,0)*MATCH(orderHistory[status],$D$11,0)*MATCH(orderHistory[order_type],$D$13,0)),MATCH(ROW(orderHistory[customer]),ROW(orderHistory[customer])),""),ROWS($A$15:A55)+$B$3))))),"")</f>
        <v/>
      </c>
      <c r="W50" s="17"/>
      <c r="X50" s="17"/>
      <c r="AQ50" s="190"/>
      <c r="AR50" s="190" t="s">
        <v>739</v>
      </c>
      <c r="BG50"/>
      <c r="BK50" s="146"/>
      <c r="BL50" s="147"/>
      <c r="BM50" s="148"/>
      <c r="BN50" s="147"/>
      <c r="BO50" s="148"/>
      <c r="BZ50" s="304"/>
      <c r="CA50" s="270" t="str">
        <f>IF(BZ50="","",VLOOKUP(BZ50,bhpc_data[],7,FALSE))</f>
        <v/>
      </c>
      <c r="CB50" s="303"/>
      <c r="CC50" s="642"/>
      <c r="CD50" s="297"/>
      <c r="CE50" s="645"/>
      <c r="CF50" s="298"/>
      <c r="CG50" s="301" t="str">
        <f>IFERROR(ROUNDUP(CB50/VLOOKUP(BZ50,bhpc_data[],9,FALSE),0)+ROUNDUP(CD50/VLOOKUP(BZ50,bhpc_data[],9,FALSE),0),"")</f>
        <v/>
      </c>
      <c r="CH50" s="302" t="str">
        <f>IFERROR(ROUNDUP(CD50/VLOOKUP(BZ50,bhpc_data[],9,FALSE),0),"")</f>
        <v/>
      </c>
      <c r="CI50" s="302" t="str">
        <f>IFERROR(ROUNDUP(CF50/VLOOKUP(BZ50,bhpc_data[],9,FALSE),0),"")</f>
        <v/>
      </c>
      <c r="CJ50" s="302" t="str">
        <f>IFERROR(((CB50+CD50+CF50)/VLOOKUP(BZ50,bhpc_data[],9,FALSE))*VLOOKUP(BZ50,bhpc_data[],17,FALSE),"")</f>
        <v/>
      </c>
      <c r="CK50" s="302" t="str">
        <f>IFERROR(((CB50+CD50+CF50)/VLOOKUP(BZ50,bhpc_data[],9,FALSE))*VLOOKUP(BZ50,bhpc_data[],18,FALSE),"")</f>
        <v/>
      </c>
      <c r="CL50" s="346" t="str">
        <f>IFERROR((CB50+CD50)/VLOOKUP(BZ50,bhpc_data[],9,FALSE)*VLOOKUP(BZ50,bhpc_data[],14,FALSE)*VLOOKUP(BZ50,bhpc_data[],15,FALSE)*VLOOKUP(BZ50,bhpc_data[],16,FALSE)/1000000000,"")</f>
        <v/>
      </c>
      <c r="CM50" s="409" t="str">
        <f>IFERROR(VLOOKUP(BZ50,bhpc_data[],2,FALSE),"")</f>
        <v/>
      </c>
      <c r="CN50" s="409" t="str">
        <f>IFERROR(VLOOKUP(BZ50,bhpc_data[],19,FALSE),"")</f>
        <v/>
      </c>
      <c r="CO50" s="653" t="str">
        <f>IFERROR(VLOOKUP(BZ50,bhpc_data[],6,FALSE),"")</f>
        <v/>
      </c>
      <c r="CP50" s="654" t="str">
        <f>IFERROR(VLOOKUP(BZ50,inventory[],4,FALSE),"")</f>
        <v/>
      </c>
      <c r="CQ50" s="651" t="str">
        <f>IFERROR(IF(BZ50="","",IF($BX$15="SALE",VLOOKUP(BZ50,inventory[],5,FALSE),IF($BX$15="SAMPLING",VLOOKUP(BZ50,inventory[],5,FALSE),""))),"")</f>
        <v/>
      </c>
      <c r="CR50" s="652" t="str">
        <f>IFERROR(IF(BZ50="","",(CB50+CD50+CF50)*CQ50),"")</f>
        <v/>
      </c>
      <c r="CS50" s="557" t="str">
        <f>IF(BZ50="","",CB50*CC50+CD50*CE50)</f>
        <v/>
      </c>
      <c r="CU50" s="607"/>
      <c r="CV50" s="411">
        <f>ROUNDUP(SUMIFS(bhpc_data[pallet],bhpc_data[category],"BODYMIST"),0)</f>
        <v>0</v>
      </c>
      <c r="CW50" s="411">
        <f>ROUNDUP(SUMIFS(bhpc_data[pallet],bhpc_data[category],"TESTER"),0)</f>
        <v>0</v>
      </c>
      <c r="CX50" s="411"/>
      <c r="CY50" s="411"/>
      <c r="CZ50" s="608"/>
      <c r="DA50" s="540" t="str">
        <f>IFERROR(VLOOKUP(BZ50,bhpc_data[],22,FALSE),"")</f>
        <v/>
      </c>
      <c r="EE50" s="454" t="s">
        <v>125</v>
      </c>
      <c r="EF50" s="447" t="str">
        <f>VLOOKUP(EE50,bhpc_data[],7,FALSE)</f>
        <v>BHPC WOMEN 2 EDP 100ML</v>
      </c>
      <c r="EG50" s="555">
        <f>IFERROR(VLOOKUP(EE50,inventory[],4,FALSE),0)</f>
        <v>6478</v>
      </c>
      <c r="EH50" s="555">
        <f>IFERROR(VLOOKUP(warehouse[[#This Row],[SKU]],$EQ$10:$ES$38,3,FALSE),0)</f>
        <v>0</v>
      </c>
      <c r="EI50" s="555">
        <f>IFERROR(VLOOKUP(warehouse[[#This Row],[SKU]],$EM$10:$EO$61,3,FALSE),0)</f>
        <v>2777</v>
      </c>
      <c r="EJ50" s="555">
        <f>warehouse[[#This Row],[T-1]]+warehouse[[#This Row],[SUPPLY]]-warehouse[[#This Row],[SALE + SAMPLING]]</f>
        <v>3701</v>
      </c>
      <c r="EK50" s="449"/>
      <c r="EM50" s="74" t="s">
        <v>161</v>
      </c>
      <c r="EN50" s="74" t="s">
        <v>162</v>
      </c>
      <c r="EO50" s="431">
        <v>6177</v>
      </c>
    </row>
    <row r="51" spans="10:145" ht="15" customHeight="1">
      <c r="J51" s="17"/>
      <c r="K51" s="17"/>
      <c r="L51" s="274" t="str">
        <f t="array" ref="L51">IFERROR(IF($D$9="",IF($D$11="",IF($D$13="",INDEX(orderHistory[customer],SMALL(MATCH(ROW(orderHistory[customer]),ROW(orderHistory[customer])),ROWS($A$15:A56)+$B$3)),INDEX(orderHistory[customer],SMALL(IF(ISNUMBER(MATCH(orderHistory[order_type],$D$13,0)),MATCH(ROW(orderHistory[customer]),ROW(orderHistory[customer])),""),ROWS($A$15:A56)+$B$3))),IF($D$13="",INDEX(orderHistory[customer],SMALL(IF(ISNUMBER(MATCH(orderHistory[status],$D$11,0)),MATCH(ROW(orderHistory[customer]),ROW(orderHistory[customer])),""),ROWS($A$15:A56)+$B$3)),INDEX(orderHistory[customer],SMALL(IF(ISNUMBER(MATCH(orderHistory[status],$D$11,0)*MATCH(orderHistory[order_type],$D$13,0)),MATCH(ROW(orderHistory[customer]),ROW(orderHistory[customer])),""),ROWS($A$15:A56)+$B$3)))),IF($D$11="",IF($D$13="",INDEX(orderHistory[customer],SMALL(IF(ISNUMBER(MATCH(orderHistory[customer],$D$9,0)),MATCH(ROW(orderHistory[customer]),ROW(orderHistory[customer])),""),ROWS($A$15:A56)+$B$3)),INDEX(orderHistory[customer],SMALL(IF(ISNUMBER(MATCH(orderHistory[customer],$D$9,0)*MATCH(orderHistory[order_type],$D$13,0)),MATCH(ROW(orderHistory[customer]),ROW(orderHistory[customer])),""),ROWS($A$15:A56)+$B$3))),IF($D$13="",INDEX(orderHistory[customer],SMALL(IF(ISNUMBER(MATCH(orderHistory[customer],$D$9,0)*MATCH(orderHistory[status],$D$11,0)),MATCH(ROW(orderHistory[customer]),ROW(orderHistory[customer])),""),ROWS($A$15:A56)+$B$3)),INDEX(orderHistory[customer],SMALL(IF(ISNUMBER(MATCH(orderHistory[customer],$D$9,0)*MATCH(orderHistory[status],$D$11,0)*MATCH(orderHistory[order_type],$D$13,0)),MATCH(ROW(orderHistory[customer]),ROW(orderHistory[customer])),""),ROWS($A$15:A56)+$B$3))))),"")</f>
        <v/>
      </c>
      <c r="M51" s="391" t="str">
        <f t="array" ref="M51">IFERROR(IF($D$9="",IF($D$11="",IF($D$13="",INDEX(orderHistory[order_no],SMALL(MATCH(ROW(orderHistory[customer]),ROW(orderHistory[customer])),ROWS($A$15:A56)+$B$3)),INDEX(orderHistory[order_no],SMALL(IF(ISNUMBER(MATCH(orderHistory[order_type],$D$13,0)),MATCH(ROW(orderHistory[customer]),ROW(orderHistory[customer])),""),ROWS($A$15:A56)+$B$3))),IF($D$13="",INDEX(orderHistory[order_no],SMALL(IF(ISNUMBER(MATCH(orderHistory[status],$D$11,0)),MATCH(ROW(orderHistory[customer]),ROW(orderHistory[customer])),""),ROWS($A$15:A56)+$B$3)),INDEX(orderHistory[order_no],SMALL(IF(ISNUMBER(MATCH(orderHistory[status],$D$11,0)*MATCH(orderHistory[order_type],$D$13,0)),MATCH(ROW(orderHistory[customer]),ROW(orderHistory[customer])),""),ROWS($A$15:A56)+$B$3)))),IF($D$11="",IF($D$13="",INDEX(orderHistory[order_no],SMALL(IF(ISNUMBER(MATCH(orderHistory[customer],$D$9,0)),MATCH(ROW(orderHistory[customer]),ROW(orderHistory[customer])),""),ROWS($A$15:A56)+$B$3)),INDEX(orderHistory[order_no],SMALL(IF(ISNUMBER(MATCH(orderHistory[customer],$D$9,0)*MATCH(orderHistory[order_type],$D$13,0)),MATCH(ROW(orderHistory[customer]),ROW(orderHistory[customer])),""),ROWS($A$15:A56)+$B$3))),IF($D$13="",INDEX(orderHistory[order_no],SMALL(IF(ISNUMBER(MATCH(orderHistory[customer],$D$9,0)*MATCH(orderHistory[status],$D$11,0)),MATCH(ROW(orderHistory[customer]),ROW(orderHistory[customer])),""),ROWS($A$15:A56)+$B$3)),INDEX(orderHistory[order_no],SMALL(IF(ISNUMBER(MATCH(orderHistory[customer],$D$9,0)*MATCH(orderHistory[status],$D$11,0)*MATCH(orderHistory[order_type],$D$13,0)),MATCH(ROW(orderHistory[customer]),ROW(orderHistory[customer])),""),ROWS($A$15:A56)+$B$3))))),"")</f>
        <v/>
      </c>
      <c r="N51" s="386" t="str">
        <f t="array" ref="N51">IFERROR(IF($D$9="",IF($D$11="",IF($D$13="",INDEX(orderHistory[order_type],SMALL(MATCH(ROW(orderHistory[customer]),ROW(orderHistory[customer])),ROWS($A$15:A56)+$B$3)),INDEX(orderHistory[order_type],SMALL(IF(ISNUMBER(MATCH(orderHistory[order_type],$D$13,0)),MATCH(ROW(orderHistory[customer]),ROW(orderHistory[customer])),""),ROWS($A$15:A56)+$B$3))),IF($D$13="",INDEX(orderHistory[order_type],SMALL(IF(ISNUMBER(MATCH(orderHistory[status],$D$11,0)),MATCH(ROW(orderHistory[customer]),ROW(orderHistory[customer])),""),ROWS($A$15:A56)+$B$3)),INDEX(orderHistory[order_type],SMALL(IF(ISNUMBER(MATCH(orderHistory[status],$D$11,0)*MATCH(orderHistory[order_type],$D$13,0)),MATCH(ROW(orderHistory[customer]),ROW(orderHistory[customer])),""),ROWS($A$15:A56)+$B$3)))),IF($D$11="",IF($D$13="",INDEX(orderHistory[order_type],SMALL(IF(ISNUMBER(MATCH(orderHistory[customer],$D$9,0)),MATCH(ROW(orderHistory[customer]),ROW(orderHistory[customer])),""),ROWS($A$15:A56)+$B$3)),INDEX(orderHistory[order_type],SMALL(IF(ISNUMBER(MATCH(orderHistory[customer],$D$9,0)*MATCH(orderHistory[order_type],$D$13,0)),MATCH(ROW(orderHistory[customer]),ROW(orderHistory[customer])),""),ROWS($A$15:A56)+$B$3))),IF($D$13="",INDEX(orderHistory[order_type],SMALL(IF(ISNUMBER(MATCH(orderHistory[customer],$D$9,0)*MATCH(orderHistory[status],$D$11,0)),MATCH(ROW(orderHistory[customer]),ROW(orderHistory[customer])),""),ROWS($A$15:A56)+$B$3)),INDEX(orderHistory[order_type],SMALL(IF(ISNUMBER(MATCH(orderHistory[customer],$D$9,0)*MATCH(orderHistory[status],$D$11,0)*MATCH(orderHistory[order_type],$D$13,0)),MATCH(ROW(orderHistory[customer]),ROW(orderHistory[customer])),""),ROWS($A$15:A56)+$B$3))))),"")</f>
        <v/>
      </c>
      <c r="O51" s="275" t="str">
        <f t="array" ref="O51">IFERROR(IF($D$9="",IF($D$11="",IF($D$13="",INDEX(orderHistory[order_date],SMALL(MATCH(ROW(orderHistory[customer]),ROW(orderHistory[customer])),ROWS($A$15:A56)+$B$3)),INDEX(orderHistory[order_date],SMALL(IF(ISNUMBER(MATCH(orderHistory[order_type],$D$13,0)),MATCH(ROW(orderHistory[customer]),ROW(orderHistory[customer])),""),ROWS($A$15:A56)+$B$3))),IF($D$13="",INDEX(orderHistory[order_date],SMALL(IF(ISNUMBER(MATCH(orderHistory[status],$D$11,0)),MATCH(ROW(orderHistory[customer]),ROW(orderHistory[customer])),""),ROWS($A$15:A56)+$B$3)),INDEX(orderHistory[order_date],SMALL(IF(ISNUMBER(MATCH(orderHistory[status],$D$11,0)*MATCH(orderHistory[order_type],$D$13,0)),MATCH(ROW(orderHistory[customer]),ROW(orderHistory[customer])),""),ROWS($A$15:A56)+$B$3)))),IF($D$11="",IF($D$13="",INDEX(orderHistory[order_date],SMALL(IF(ISNUMBER(MATCH(orderHistory[customer],$D$9,0)),MATCH(ROW(orderHistory[customer]),ROW(orderHistory[customer])),""),ROWS($A$15:A56)+$B$3)),INDEX(orderHistory[order_date],SMALL(IF(ISNUMBER(MATCH(orderHistory[customer],$D$9,0)*MATCH(orderHistory[order_type],$D$13,0)),MATCH(ROW(orderHistory[customer]),ROW(orderHistory[customer])),""),ROWS($A$15:A56)+$B$3))),IF($D$13="",INDEX(orderHistory[order_date],SMALL(IF(ISNUMBER(MATCH(orderHistory[customer],$D$9,0)*MATCH(orderHistory[status],$D$11,0)),MATCH(ROW(orderHistory[customer]),ROW(orderHistory[customer])),""),ROWS($A$15:A56)+$B$3)),INDEX(orderHistory[order_date],SMALL(IF(ISNUMBER(MATCH(orderHistory[customer],$D$9,0)*MATCH(orderHistory[status],$D$11,0)*MATCH(orderHistory[order_type],$D$13,0)),MATCH(ROW(orderHistory[customer]),ROW(orderHistory[customer])),""),ROWS($A$15:A56)+$B$3))))),"")</f>
        <v/>
      </c>
      <c r="P51" s="379" t="str">
        <f t="array" ref="P51">IF(IFERROR(IF($D$9="",IF($D$11="",IF($D$13="",INDEX(orderHistory[invoice_no],SMALL(MATCH(ROW(orderHistory[customer]),ROW(orderHistory[customer])),ROWS($A$15:A56)+$B$3)),INDEX(orderHistory[invoice_no],SMALL(IF(ISNUMBER(MATCH(orderHistory[order_type],$D$13,0)),MATCH(ROW(orderHistory[customer]),ROW(orderHistory[customer])),""),ROWS($A$15:A56)+$B$3))),IF($D$13="",INDEX(orderHistory[invoice_no],SMALL(IF(ISNUMBER(MATCH(orderHistory[status],$D$11,0)),MATCH(ROW(orderHistory[customer]),ROW(orderHistory[customer])),""),ROWS($A$15:A56)+$B$3)),INDEX(orderHistory[invoice_no],SMALL(IF(ISNUMBER(MATCH(orderHistory[status],$D$11,0)*MATCH(orderHistory[order_type],$D$13,0)),MATCH(ROW(orderHistory[customer]),ROW(orderHistory[customer])),""),ROWS($A$15:A56)+$B$3)))),IF($D$11="",IF($D$13="",INDEX(orderHistory[invoice_no],SMALL(IF(ISNUMBER(MATCH(orderHistory[customer],$D$9,0)),MATCH(ROW(orderHistory[customer]),ROW(orderHistory[customer])),""),ROWS($A$15:A56)+$B$3)),INDEX(orderHistory[invoice_no],SMALL(IF(ISNUMBER(MATCH(orderHistory[customer],$D$9,0)*MATCH(orderHistory[order_type],$D$13,0)),MATCH(ROW(orderHistory[customer]),ROW(orderHistory[customer])),""),ROWS($A$15:A56)+$B$3))),IF($D$13="",INDEX(orderHistory[invoice_no],SMALL(IF(ISNUMBER(MATCH(orderHistory[customer],$D$9,0)*MATCH(orderHistory[status],$D$11,0)),MATCH(ROW(orderHistory[customer]),ROW(orderHistory[customer])),""),ROWS($A$15:A56)+$B$3)),INDEX(orderHistory[invoice_no],SMALL(IF(ISNUMBER(MATCH(orderHistory[customer],$D$9,0)*MATCH(orderHistory[status],$D$11,0)*MATCH(orderHistory[order_type],$D$13,0)),MATCH(ROW(orderHistory[customer]),ROW(orderHistory[customer])),""),ROWS($A$15:A56)+$B$3))))),"")=0,"",IFERROR(IF($D$9="",IF($D$11="",IF($D$13="",INDEX(orderHistory[invoice_no],SMALL(MATCH(ROW(orderHistory[customer]),ROW(orderHistory[customer])),ROWS($A$15:A56)+$B$3)),INDEX(orderHistory[invoice_no],SMALL(IF(ISNUMBER(MATCH(orderHistory[order_type],$D$13,0)),MATCH(ROW(orderHistory[customer]),ROW(orderHistory[customer])),""),ROWS($A$15:A56)+$B$3))),IF($D$13="",INDEX(orderHistory[invoice_no],SMALL(IF(ISNUMBER(MATCH(orderHistory[status],$D$11,0)),MATCH(ROW(orderHistory[customer]),ROW(orderHistory[customer])),""),ROWS($A$15:A56)+$B$3)),INDEX(orderHistory[invoice_no],SMALL(IF(ISNUMBER(MATCH(orderHistory[status],$D$11,0)*MATCH(orderHistory[order_type],$D$13,0)),MATCH(ROW(orderHistory[customer]),ROW(orderHistory[customer])),""),ROWS($A$15:A56)+$B$3)))),IF($D$11="",IF($D$13="",INDEX(orderHistory[invoice_no],SMALL(IF(ISNUMBER(MATCH(orderHistory[customer],$D$9,0)),MATCH(ROW(orderHistory[customer]),ROW(orderHistory[customer])),""),ROWS($A$15:A56)+$B$3)),INDEX(orderHistory[invoice_no],SMALL(IF(ISNUMBER(MATCH(orderHistory[customer],$D$9,0)*MATCH(orderHistory[order_type],$D$13,0)),MATCH(ROW(orderHistory[customer]),ROW(orderHistory[customer])),""),ROWS($A$15:A56)+$B$3))),IF($D$13="",INDEX(orderHistory[invoice_no],SMALL(IF(ISNUMBER(MATCH(orderHistory[customer],$D$9,0)*MATCH(orderHistory[status],$D$11,0)),MATCH(ROW(orderHistory[customer]),ROW(orderHistory[customer])),""),ROWS($A$15:A56)+$B$3)),INDEX(orderHistory[invoice_no],SMALL(IF(ISNUMBER(MATCH(orderHistory[customer],$D$9,0)*MATCH(orderHistory[status],$D$11,0)*MATCH(orderHistory[order_type],$D$13,0)),MATCH(ROW(orderHistory[customer]),ROW(orderHistory[customer])),""),ROWS($A$15:A56)+$B$3))))),""))</f>
        <v/>
      </c>
      <c r="Q51" s="381" t="str">
        <f t="array" ref="Q51">IF(IFERROR(IF($D$9="",IF($D$11="",IF($D$13="",INDEX(orderHistory[invoice_date],SMALL(MATCH(ROW(orderHistory[customer]),ROW(orderHistory[customer])),ROWS($A$15:A56)+$B$3)),INDEX(orderHistory[invoice_date],SMALL(IF(ISNUMBER(MATCH(orderHistory[order_type],$D$13,0)),MATCH(ROW(orderHistory[customer]),ROW(orderHistory[customer])),""),ROWS($A$15:A56)+$B$3))),IF($D$13="",INDEX(orderHistory[invoice_date],SMALL(IF(ISNUMBER(MATCH(orderHistory[status],$D$11,0)),MATCH(ROW(orderHistory[customer]),ROW(orderHistory[customer])),""),ROWS($A$15:A56)+$B$3)),INDEX(orderHistory[invoice_date],SMALL(IF(ISNUMBER(MATCH(orderHistory[status],$D$11,0)*MATCH(orderHistory[order_type],$D$13,0)),MATCH(ROW(orderHistory[customer]),ROW(orderHistory[customer])),""),ROWS($A$15:A56)+$B$3)))),IF($D$11="",IF($D$13="",INDEX(orderHistory[invoice_date],SMALL(IF(ISNUMBER(MATCH(orderHistory[customer],$D$9,0)),MATCH(ROW(orderHistory[customer]),ROW(orderHistory[customer])),""),ROWS($A$15:A56)+$B$3)),INDEX(orderHistory[invoice_date],SMALL(IF(ISNUMBER(MATCH(orderHistory[customer],$D$9,0)*MATCH(orderHistory[order_type],$D$13,0)),MATCH(ROW(orderHistory[customer]),ROW(orderHistory[customer])),""),ROWS($A$15:A56)+$B$3))),IF($D$13="",INDEX(orderHistory[invoice_date],SMALL(IF(ISNUMBER(MATCH(orderHistory[customer],$D$9,0)*MATCH(orderHistory[status],$D$11,0)),MATCH(ROW(orderHistory[customer]),ROW(orderHistory[customer])),""),ROWS($A$15:A56)+$B$3)),INDEX(orderHistory[invoice_date],SMALL(IF(ISNUMBER(MATCH(orderHistory[customer],$D$9,0)*MATCH(orderHistory[status],$D$11,0)*MATCH(orderHistory[order_type],$D$13,0)),MATCH(ROW(orderHistory[customer]),ROW(orderHistory[customer])),""),ROWS($A$15:A56)+$B$3))))),"")=0,"",IFERROR(IF($D$9="",IF($D$11="",IF($D$13="",INDEX(orderHistory[invoice_date],SMALL(MATCH(ROW(orderHistory[customer]),ROW(orderHistory[customer])),ROWS($A$15:A56)+$B$3)),INDEX(orderHistory[invoice_date],SMALL(IF(ISNUMBER(MATCH(orderHistory[order_type],$D$13,0)),MATCH(ROW(orderHistory[customer]),ROW(orderHistory[customer])),""),ROWS($A$15:A56)+$B$3))),IF($D$13="",INDEX(orderHistory[invoice_date],SMALL(IF(ISNUMBER(MATCH(orderHistory[status],$D$11,0)),MATCH(ROW(orderHistory[customer]),ROW(orderHistory[customer])),""),ROWS($A$15:A56)+$B$3)),INDEX(orderHistory[invoice_date],SMALL(IF(ISNUMBER(MATCH(orderHistory[status],$D$11,0)*MATCH(orderHistory[order_type],$D$13,0)),MATCH(ROW(orderHistory[customer]),ROW(orderHistory[customer])),""),ROWS($A$15:A56)+$B$3)))),IF($D$11="",IF($D$13="",INDEX(orderHistory[invoice_date],SMALL(IF(ISNUMBER(MATCH(orderHistory[customer],$D$9,0)),MATCH(ROW(orderHistory[customer]),ROW(orderHistory[customer])),""),ROWS($A$15:A56)+$B$3)),INDEX(orderHistory[invoice_date],SMALL(IF(ISNUMBER(MATCH(orderHistory[customer],$D$9,0)*MATCH(orderHistory[order_type],$D$13,0)),MATCH(ROW(orderHistory[customer]),ROW(orderHistory[customer])),""),ROWS($A$15:A56)+$B$3))),IF($D$13="",INDEX(orderHistory[invoice_date],SMALL(IF(ISNUMBER(MATCH(orderHistory[customer],$D$9,0)*MATCH(orderHistory[status],$D$11,0)),MATCH(ROW(orderHistory[customer]),ROW(orderHistory[customer])),""),ROWS($A$15:A56)+$B$3)),INDEX(orderHistory[invoice_date],SMALL(IF(ISNUMBER(MATCH(orderHistory[customer],$D$9,0)*MATCH(orderHistory[status],$D$11,0)*MATCH(orderHistory[order_type],$D$13,0)),MATCH(ROW(orderHistory[customer]),ROW(orderHistory[customer])),""),ROWS($A$15:A56)+$B$3))))),""))</f>
        <v/>
      </c>
      <c r="R51" s="377" t="str">
        <f t="array" ref="R51">IFERROR(IF($D$9="",IF($D$11="",IF($D$13="",INDEX(orderHistory[inv_amount],SMALL(MATCH(ROW(orderHistory[customer]),ROW(orderHistory[customer])),ROWS($A$15:A56)+$B$3)),INDEX(orderHistory[inv_amount],SMALL(IF(ISNUMBER(MATCH(orderHistory[order_type],$D$13,0)),MATCH(ROW(orderHistory[customer]),ROW(orderHistory[customer])),""),ROWS($A$15:A56)+$B$3))),IF($D$13="",INDEX(orderHistory[inv_amount],SMALL(IF(ISNUMBER(MATCH(orderHistory[status],$D$11,0)),MATCH(ROW(orderHistory[customer]),ROW(orderHistory[customer])),""),ROWS($A$15:A56)+$B$3)),INDEX(orderHistory[inv_amount],SMALL(IF(ISNUMBER(MATCH(orderHistory[status],$D$11,0)*MATCH(orderHistory[order_type],$D$13,0)),MATCH(ROW(orderHistory[customer]),ROW(orderHistory[customer])),""),ROWS($A$15:A56)+$B$3)))),IF($D$11="",IF($D$13="",INDEX(orderHistory[inv_amount],SMALL(IF(ISNUMBER(MATCH(orderHistory[customer],$D$9,0)),MATCH(ROW(orderHistory[customer]),ROW(orderHistory[customer])),""),ROWS($A$15:A56)+$B$3)),INDEX(orderHistory[inv_amount],SMALL(IF(ISNUMBER(MATCH(orderHistory[customer],$D$9,0)*MATCH(orderHistory[order_type],$D$13,0)),MATCH(ROW(orderHistory[customer]),ROW(orderHistory[customer])),""),ROWS($A$15:A56)+$B$3))),IF($D$13="",INDEX(orderHistory[inv_amount],SMALL(IF(ISNUMBER(MATCH(orderHistory[customer],$D$9,0)*MATCH(orderHistory[status],$D$11,0)),MATCH(ROW(orderHistory[customer]),ROW(orderHistory[customer])),""),ROWS($A$15:A56)+$B$3)),INDEX(orderHistory[inv_amount],SMALL(IF(ISNUMBER(MATCH(orderHistory[customer],$D$9,0)*MATCH(orderHistory[status],$D$11,0)*MATCH(orderHistory[order_type],$D$13,0)),MATCH(ROW(orderHistory[customer]),ROW(orderHistory[customer])),""),ROWS($A$15:A56)+$B$3))))),"")</f>
        <v/>
      </c>
      <c r="S51" s="383" t="str">
        <f t="shared" si="1"/>
        <v/>
      </c>
      <c r="T51" s="385" t="str">
        <f t="array" ref="T51">IFERROR(IF($D$9="",IF($D$11="",IF($D$13="",INDEX(orderHistory[payed],SMALL(MATCH(ROW(orderHistory[customer]),ROW(orderHistory[customer])),ROWS($A$15:A56)+$B$3)),INDEX(orderHistory[payed],SMALL(IF(ISNUMBER(MATCH(orderHistory[order_type],$D$13,0)),MATCH(ROW(orderHistory[customer]),ROW(orderHistory[customer])),""),ROWS($A$15:A56)+$B$3))),IF($D$13="",INDEX(orderHistory[payed],SMALL(IF(ISNUMBER(MATCH(orderHistory[status],$D$11,0)),MATCH(ROW(orderHistory[customer]),ROW(orderHistory[customer])),""),ROWS($A$15:A56)+$B$3)),INDEX(orderHistory[payed],SMALL(IF(ISNUMBER(MATCH(orderHistory[status],$D$11,0)*MATCH(orderHistory[order_type],$D$13,0)),MATCH(ROW(orderHistory[customer]),ROW(orderHistory[customer])),""),ROWS($A$15:A56)+$B$3)))),IF($D$11="",IF($D$13="",INDEX(orderHistory[payed],SMALL(IF(ISNUMBER(MATCH(orderHistory[customer],$D$9,0)),MATCH(ROW(orderHistory[customer]),ROW(orderHistory[customer])),""),ROWS($A$15:A56)+$B$3)),INDEX(orderHistory[payed],SMALL(IF(ISNUMBER(MATCH(orderHistory[customer],$D$9,0)*MATCH(orderHistory[order_type],$D$13,0)),MATCH(ROW(orderHistory[customer]),ROW(orderHistory[customer])),""),ROWS($A$15:A56)+$B$3))),IF($D$13="",INDEX(orderHistory[payed],SMALL(IF(ISNUMBER(MATCH(orderHistory[customer],$D$9,0)*MATCH(orderHistory[status],$D$11,0)),MATCH(ROW(orderHistory[customer]),ROW(orderHistory[customer])),""),ROWS($A$15:A56)+$B$3)),INDEX(orderHistory[payed],SMALL(IF(ISNUMBER(MATCH(orderHistory[customer],$D$9,0)*MATCH(orderHistory[status],$D$11,0)*MATCH(orderHistory[order_type],$D$13,0)),MATCH(ROW(orderHistory[customer]),ROW(orderHistory[customer])),""),ROWS($A$15:A56)+$B$3))))),"")</f>
        <v/>
      </c>
      <c r="U51" s="386" t="str">
        <f t="array" ref="U51">IFERROR(IF($D$9="",IF($D$11="",IF($D$13="",INDEX(orderHistory[shipping_method],SMALL(MATCH(ROW(orderHistory[customer]),ROW(orderHistory[customer])),ROWS($A$15:A56)+$B$3)),INDEX(orderHistory[shipping_method],SMALL(IF(ISNUMBER(MATCH(orderHistory[order_type],$D$13,0)),MATCH(ROW(orderHistory[customer]),ROW(orderHistory[customer])),""),ROWS($A$15:A56)+$B$3))),IF($D$13="",INDEX(orderHistory[shipping_method],SMALL(IF(ISNUMBER(MATCH(orderHistory[status],$D$11,0)),MATCH(ROW(orderHistory[customer]),ROW(orderHistory[customer])),""),ROWS($A$15:A56)+$B$3)),INDEX(orderHistory[shipping_method],SMALL(IF(ISNUMBER(MATCH(orderHistory[status],$D$11,0)*MATCH(orderHistory[order_type],$D$13,0)),MATCH(ROW(orderHistory[customer]),ROW(orderHistory[customer])),""),ROWS($A$15:A56)+$B$3)))),IF($D$11="",IF($D$13="",INDEX(orderHistory[shipping_method],SMALL(IF(ISNUMBER(MATCH(orderHistory[customer],$D$9,0)),MATCH(ROW(orderHistory[customer]),ROW(orderHistory[customer])),""),ROWS($A$15:A56)+$B$3)),INDEX(orderHistory[shipping_method],SMALL(IF(ISNUMBER(MATCH(orderHistory[customer],$D$9,0)*MATCH(orderHistory[order_type],$D$13,0)),MATCH(ROW(orderHistory[customer]),ROW(orderHistory[customer])),""),ROWS($A$15:A56)+$B$3))),IF($D$13="",INDEX(orderHistory[shipping_method],SMALL(IF(ISNUMBER(MATCH(orderHistory[customer],$D$9,0)*MATCH(orderHistory[status],$D$11,0)),MATCH(ROW(orderHistory[customer]),ROW(orderHistory[customer])),""),ROWS($A$15:A56)+$B$3)),INDEX(orderHistory[shipping_method],SMALL(IF(ISNUMBER(MATCH(orderHistory[customer],$D$9,0)*MATCH(orderHistory[status],$D$11,0)*MATCH(orderHistory[order_type],$D$13,0)),MATCH(ROW(orderHistory[customer]),ROW(orderHistory[customer])),""),ROWS($A$15:A56)+$B$3))))),"")</f>
        <v/>
      </c>
      <c r="V51" s="387" t="str">
        <f t="array" ref="V51">IFERROR(IF($D$9="",IF($D$11="",IF($D$13="",INDEX(orderHistory[status],SMALL(MATCH(ROW(orderHistory[customer]),ROW(orderHistory[customer])),ROWS($A$15:A56)+$B$3)),INDEX(orderHistory[status],SMALL(IF(ISNUMBER(MATCH(orderHistory[order_type],$D$13,0)),MATCH(ROW(orderHistory[customer]),ROW(orderHistory[customer])),""),ROWS($A$15:A56)+$B$3))),IF($D$13="",INDEX(orderHistory[status],SMALL(IF(ISNUMBER(MATCH(orderHistory[status],$D$11,0)),MATCH(ROW(orderHistory[customer]),ROW(orderHistory[customer])),""),ROWS($A$15:A56)+$B$3)),INDEX(orderHistory[status],SMALL(IF(ISNUMBER(MATCH(orderHistory[status],$D$11,0)*MATCH(orderHistory[order_type],$D$13,0)),MATCH(ROW(orderHistory[customer]),ROW(orderHistory[customer])),""),ROWS($A$15:A56)+$B$3)))),IF($D$11="",IF($D$13="",INDEX(orderHistory[status],SMALL(IF(ISNUMBER(MATCH(orderHistory[customer],$D$9,0)),MATCH(ROW(orderHistory[customer]),ROW(orderHistory[customer])),""),ROWS($A$15:A56)+$B$3)),INDEX(orderHistory[status],SMALL(IF(ISNUMBER(MATCH(orderHistory[customer],$D$9,0)*MATCH(orderHistory[order_type],$D$13,0)),MATCH(ROW(orderHistory[customer]),ROW(orderHistory[customer])),""),ROWS($A$15:A56)+$B$3))),IF($D$13="",INDEX(orderHistory[status],SMALL(IF(ISNUMBER(MATCH(orderHistory[customer],$D$9,0)*MATCH(orderHistory[status],$D$11,0)),MATCH(ROW(orderHistory[customer]),ROW(orderHistory[customer])),""),ROWS($A$15:A56)+$B$3)),INDEX(orderHistory[status],SMALL(IF(ISNUMBER(MATCH(orderHistory[customer],$D$9,0)*MATCH(orderHistory[status],$D$11,0)*MATCH(orderHistory[order_type],$D$13,0)),MATCH(ROW(orderHistory[customer]),ROW(orderHistory[customer])),""),ROWS($A$15:A56)+$B$3))))),"")</f>
        <v/>
      </c>
      <c r="W51" s="17"/>
      <c r="X51" s="17"/>
      <c r="AQ51" s="191"/>
      <c r="AR51" s="191" t="s">
        <v>469</v>
      </c>
      <c r="BG51"/>
      <c r="BK51" s="146"/>
      <c r="BL51" s="147"/>
      <c r="BM51" s="148"/>
      <c r="BN51" s="147"/>
      <c r="BO51" s="148"/>
      <c r="BZ51" s="305"/>
      <c r="CA51" s="270" t="str">
        <f>IF(BZ51="","",VLOOKUP(BZ51,bhpc_data[],7,FALSE))</f>
        <v/>
      </c>
      <c r="CB51" s="296"/>
      <c r="CC51" s="642"/>
      <c r="CD51" s="297"/>
      <c r="CE51" s="645"/>
      <c r="CF51" s="298"/>
      <c r="CG51" s="301" t="str">
        <f>IFERROR(ROUNDUP(CB51/VLOOKUP(BZ51,bhpc_data[],9,FALSE),0)+ROUNDUP(CD51/VLOOKUP(BZ51,bhpc_data[],9,FALSE),0),"")</f>
        <v/>
      </c>
      <c r="CH51" s="302" t="str">
        <f>IFERROR(ROUNDUP(CD51/VLOOKUP(BZ51,bhpc_data[],9,FALSE),0),"")</f>
        <v/>
      </c>
      <c r="CI51" s="302" t="str">
        <f>IFERROR(ROUNDUP(CF51/VLOOKUP(BZ51,bhpc_data[],9,FALSE),0),"")</f>
        <v/>
      </c>
      <c r="CJ51" s="302" t="str">
        <f>IFERROR(((CB51+CD51+CF51)/VLOOKUP(BZ51,bhpc_data[],9,FALSE))*VLOOKUP(BZ51,bhpc_data[],17,FALSE),"")</f>
        <v/>
      </c>
      <c r="CK51" s="302" t="str">
        <f>IFERROR(((CB51+CD51+CF51)/VLOOKUP(BZ51,bhpc_data[],9,FALSE))*VLOOKUP(BZ51,bhpc_data[],18,FALSE),"")</f>
        <v/>
      </c>
      <c r="CL51" s="346" t="str">
        <f>IFERROR((CB51+CD51)/VLOOKUP(BZ51,bhpc_data[],9,FALSE)*VLOOKUP(BZ51,bhpc_data[],14,FALSE)*VLOOKUP(BZ51,bhpc_data[],15,FALSE)*VLOOKUP(BZ51,bhpc_data[],16,FALSE)/1000000000,"")</f>
        <v/>
      </c>
      <c r="CM51" s="409" t="str">
        <f>IFERROR(VLOOKUP(BZ51,bhpc_data[],2,FALSE),"")</f>
        <v/>
      </c>
      <c r="CN51" s="409" t="str">
        <f>IFERROR(VLOOKUP(BZ51,bhpc_data[],19,FALSE),"")</f>
        <v/>
      </c>
      <c r="CO51" s="653" t="str">
        <f>IFERROR(VLOOKUP(BZ51,bhpc_data[],6,FALSE),"")</f>
        <v/>
      </c>
      <c r="CP51" s="654" t="str">
        <f>IFERROR(VLOOKUP(BZ51,inventory[],4,FALSE),"")</f>
        <v/>
      </c>
      <c r="CQ51" s="651" t="str">
        <f>IFERROR(IF(BZ51="","",IF($BX$15="SALE",VLOOKUP(BZ51,inventory[],5,FALSE),IF($BX$15="SAMPLING",VLOOKUP(BZ51,inventory[],5,FALSE),""))),"")</f>
        <v/>
      </c>
      <c r="CR51" s="652" t="str">
        <f>IFERROR(IF(BZ51="","",(CB51+CD51+CF51)*CQ51),"")</f>
        <v/>
      </c>
      <c r="CS51" s="557" t="str">
        <f>IF(BZ51="","",CB51*CC51+CD51*CE51)</f>
        <v/>
      </c>
      <c r="CU51" s="603"/>
      <c r="CV51" s="605" t="s">
        <v>38</v>
      </c>
      <c r="CW51" s="605" t="s">
        <v>49</v>
      </c>
      <c r="CX51" s="605" t="s">
        <v>1179</v>
      </c>
      <c r="CY51" s="605" t="s">
        <v>1180</v>
      </c>
      <c r="CZ51" s="606"/>
      <c r="DA51" s="540" t="str">
        <f>IFERROR(VLOOKUP(BZ51,bhpc_data[],22,FALSE),"")</f>
        <v/>
      </c>
      <c r="EE51" s="454" t="s">
        <v>127</v>
      </c>
      <c r="EF51" s="447" t="str">
        <f>VLOOKUP(EE51,bhpc_data[],7,FALSE)</f>
        <v>BHPC PRESTIGE TROPHY 100ML EDP MEN</v>
      </c>
      <c r="EG51" s="555">
        <f>IFERROR(VLOOKUP(EE51,inventory[],4,FALSE),0)</f>
        <v>5041</v>
      </c>
      <c r="EH51" s="555">
        <f>IFERROR(VLOOKUP(warehouse[[#This Row],[SKU]],$EQ$10:$ES$38,3,FALSE),0)</f>
        <v>4942</v>
      </c>
      <c r="EI51" s="555">
        <f>IFERROR(VLOOKUP(warehouse[[#This Row],[SKU]],$EM$10:$EO$61,3,FALSE),0)</f>
        <v>2616</v>
      </c>
      <c r="EJ51" s="555">
        <f>warehouse[[#This Row],[T-1]]+warehouse[[#This Row],[SUPPLY]]-warehouse[[#This Row],[SALE + SAMPLING]]</f>
        <v>7367</v>
      </c>
      <c r="EK51" s="449"/>
      <c r="EM51" s="74" t="s">
        <v>163</v>
      </c>
      <c r="EN51" s="74" t="s">
        <v>164</v>
      </c>
      <c r="EO51" s="431">
        <v>6177</v>
      </c>
    </row>
    <row r="52" spans="10:145" ht="15" customHeight="1">
      <c r="J52" s="17"/>
      <c r="K52" s="17"/>
      <c r="L52" s="274" t="str">
        <f t="array" ref="L52">IFERROR(IF($D$9="",IF($D$11="",IF($D$13="",INDEX(orderHistory[customer],SMALL(MATCH(ROW(orderHistory[customer]),ROW(orderHistory[customer])),ROWS($A$15:A57)+$B$3)),INDEX(orderHistory[customer],SMALL(IF(ISNUMBER(MATCH(orderHistory[order_type],$D$13,0)),MATCH(ROW(orderHistory[customer]),ROW(orderHistory[customer])),""),ROWS($A$15:A57)+$B$3))),IF($D$13="",INDEX(orderHistory[customer],SMALL(IF(ISNUMBER(MATCH(orderHistory[status],$D$11,0)),MATCH(ROW(orderHistory[customer]),ROW(orderHistory[customer])),""),ROWS($A$15:A57)+$B$3)),INDEX(orderHistory[customer],SMALL(IF(ISNUMBER(MATCH(orderHistory[status],$D$11,0)*MATCH(orderHistory[order_type],$D$13,0)),MATCH(ROW(orderHistory[customer]),ROW(orderHistory[customer])),""),ROWS($A$15:A57)+$B$3)))),IF($D$11="",IF($D$13="",INDEX(orderHistory[customer],SMALL(IF(ISNUMBER(MATCH(orderHistory[customer],$D$9,0)),MATCH(ROW(orderHistory[customer]),ROW(orderHistory[customer])),""),ROWS($A$15:A57)+$B$3)),INDEX(orderHistory[customer],SMALL(IF(ISNUMBER(MATCH(orderHistory[customer],$D$9,0)*MATCH(orderHistory[order_type],$D$13,0)),MATCH(ROW(orderHistory[customer]),ROW(orderHistory[customer])),""),ROWS($A$15:A57)+$B$3))),IF($D$13="",INDEX(orderHistory[customer],SMALL(IF(ISNUMBER(MATCH(orderHistory[customer],$D$9,0)*MATCH(orderHistory[status],$D$11,0)),MATCH(ROW(orderHistory[customer]),ROW(orderHistory[customer])),""),ROWS($A$15:A57)+$B$3)),INDEX(orderHistory[customer],SMALL(IF(ISNUMBER(MATCH(orderHistory[customer],$D$9,0)*MATCH(orderHistory[status],$D$11,0)*MATCH(orderHistory[order_type],$D$13,0)),MATCH(ROW(orderHistory[customer]),ROW(orderHistory[customer])),""),ROWS($A$15:A57)+$B$3))))),"")</f>
        <v/>
      </c>
      <c r="M52" s="391" t="str">
        <f t="array" ref="M52">IFERROR(IF($D$9="",IF($D$11="",IF($D$13="",INDEX(orderHistory[order_no],SMALL(MATCH(ROW(orderHistory[customer]),ROW(orderHistory[customer])),ROWS($A$15:A57)+$B$3)),INDEX(orderHistory[order_no],SMALL(IF(ISNUMBER(MATCH(orderHistory[order_type],$D$13,0)),MATCH(ROW(orderHistory[customer]),ROW(orderHistory[customer])),""),ROWS($A$15:A57)+$B$3))),IF($D$13="",INDEX(orderHistory[order_no],SMALL(IF(ISNUMBER(MATCH(orderHistory[status],$D$11,0)),MATCH(ROW(orderHistory[customer]),ROW(orderHistory[customer])),""),ROWS($A$15:A57)+$B$3)),INDEX(orderHistory[order_no],SMALL(IF(ISNUMBER(MATCH(orderHistory[status],$D$11,0)*MATCH(orderHistory[order_type],$D$13,0)),MATCH(ROW(orderHistory[customer]),ROW(orderHistory[customer])),""),ROWS($A$15:A57)+$B$3)))),IF($D$11="",IF($D$13="",INDEX(orderHistory[order_no],SMALL(IF(ISNUMBER(MATCH(orderHistory[customer],$D$9,0)),MATCH(ROW(orderHistory[customer]),ROW(orderHistory[customer])),""),ROWS($A$15:A57)+$B$3)),INDEX(orderHistory[order_no],SMALL(IF(ISNUMBER(MATCH(orderHistory[customer],$D$9,0)*MATCH(orderHistory[order_type],$D$13,0)),MATCH(ROW(orderHistory[customer]),ROW(orderHistory[customer])),""),ROWS($A$15:A57)+$B$3))),IF($D$13="",INDEX(orderHistory[order_no],SMALL(IF(ISNUMBER(MATCH(orderHistory[customer],$D$9,0)*MATCH(orderHistory[status],$D$11,0)),MATCH(ROW(orderHistory[customer]),ROW(orderHistory[customer])),""),ROWS($A$15:A57)+$B$3)),INDEX(orderHistory[order_no],SMALL(IF(ISNUMBER(MATCH(orderHistory[customer],$D$9,0)*MATCH(orderHistory[status],$D$11,0)*MATCH(orderHistory[order_type],$D$13,0)),MATCH(ROW(orderHistory[customer]),ROW(orderHistory[customer])),""),ROWS($A$15:A57)+$B$3))))),"")</f>
        <v/>
      </c>
      <c r="N52" s="386" t="str">
        <f t="array" ref="N52">IFERROR(IF($D$9="",IF($D$11="",IF($D$13="",INDEX(orderHistory[order_type],SMALL(MATCH(ROW(orderHistory[customer]),ROW(orderHistory[customer])),ROWS($A$15:A57)+$B$3)),INDEX(orderHistory[order_type],SMALL(IF(ISNUMBER(MATCH(orderHistory[order_type],$D$13,0)),MATCH(ROW(orderHistory[customer]),ROW(orderHistory[customer])),""),ROWS($A$15:A57)+$B$3))),IF($D$13="",INDEX(orderHistory[order_type],SMALL(IF(ISNUMBER(MATCH(orderHistory[status],$D$11,0)),MATCH(ROW(orderHistory[customer]),ROW(orderHistory[customer])),""),ROWS($A$15:A57)+$B$3)),INDEX(orderHistory[order_type],SMALL(IF(ISNUMBER(MATCH(orderHistory[status],$D$11,0)*MATCH(orderHistory[order_type],$D$13,0)),MATCH(ROW(orderHistory[customer]),ROW(orderHistory[customer])),""),ROWS($A$15:A57)+$B$3)))),IF($D$11="",IF($D$13="",INDEX(orderHistory[order_type],SMALL(IF(ISNUMBER(MATCH(orderHistory[customer],$D$9,0)),MATCH(ROW(orderHistory[customer]),ROW(orderHistory[customer])),""),ROWS($A$15:A57)+$B$3)),INDEX(orderHistory[order_type],SMALL(IF(ISNUMBER(MATCH(orderHistory[customer],$D$9,0)*MATCH(orderHistory[order_type],$D$13,0)),MATCH(ROW(orderHistory[customer]),ROW(orderHistory[customer])),""),ROWS($A$15:A57)+$B$3))),IF($D$13="",INDEX(orderHistory[order_type],SMALL(IF(ISNUMBER(MATCH(orderHistory[customer],$D$9,0)*MATCH(orderHistory[status],$D$11,0)),MATCH(ROW(orderHistory[customer]),ROW(orderHistory[customer])),""),ROWS($A$15:A57)+$B$3)),INDEX(orderHistory[order_type],SMALL(IF(ISNUMBER(MATCH(orderHistory[customer],$D$9,0)*MATCH(orderHistory[status],$D$11,0)*MATCH(orderHistory[order_type],$D$13,0)),MATCH(ROW(orderHistory[customer]),ROW(orderHistory[customer])),""),ROWS($A$15:A57)+$B$3))))),"")</f>
        <v/>
      </c>
      <c r="O52" s="275" t="str">
        <f t="array" ref="O52">IFERROR(IF($D$9="",IF($D$11="",IF($D$13="",INDEX(orderHistory[order_date],SMALL(MATCH(ROW(orderHistory[customer]),ROW(orderHistory[customer])),ROWS($A$15:A57)+$B$3)),INDEX(orderHistory[order_date],SMALL(IF(ISNUMBER(MATCH(orderHistory[order_type],$D$13,0)),MATCH(ROW(orderHistory[customer]),ROW(orderHistory[customer])),""),ROWS($A$15:A57)+$B$3))),IF($D$13="",INDEX(orderHistory[order_date],SMALL(IF(ISNUMBER(MATCH(orderHistory[status],$D$11,0)),MATCH(ROW(orderHistory[customer]),ROW(orderHistory[customer])),""),ROWS($A$15:A57)+$B$3)),INDEX(orderHistory[order_date],SMALL(IF(ISNUMBER(MATCH(orderHistory[status],$D$11,0)*MATCH(orderHistory[order_type],$D$13,0)),MATCH(ROW(orderHistory[customer]),ROW(orderHistory[customer])),""),ROWS($A$15:A57)+$B$3)))),IF($D$11="",IF($D$13="",INDEX(orderHistory[order_date],SMALL(IF(ISNUMBER(MATCH(orderHistory[customer],$D$9,0)),MATCH(ROW(orderHistory[customer]),ROW(orderHistory[customer])),""),ROWS($A$15:A57)+$B$3)),INDEX(orderHistory[order_date],SMALL(IF(ISNUMBER(MATCH(orderHistory[customer],$D$9,0)*MATCH(orderHistory[order_type],$D$13,0)),MATCH(ROW(orderHistory[customer]),ROW(orderHistory[customer])),""),ROWS($A$15:A57)+$B$3))),IF($D$13="",INDEX(orderHistory[order_date],SMALL(IF(ISNUMBER(MATCH(orderHistory[customer],$D$9,0)*MATCH(orderHistory[status],$D$11,0)),MATCH(ROW(orderHistory[customer]),ROW(orderHistory[customer])),""),ROWS($A$15:A57)+$B$3)),INDEX(orderHistory[order_date],SMALL(IF(ISNUMBER(MATCH(orderHistory[customer],$D$9,0)*MATCH(orderHistory[status],$D$11,0)*MATCH(orderHistory[order_type],$D$13,0)),MATCH(ROW(orderHistory[customer]),ROW(orderHistory[customer])),""),ROWS($A$15:A57)+$B$3))))),"")</f>
        <v/>
      </c>
      <c r="P52" s="379" t="str">
        <f t="array" ref="P52">IF(IFERROR(IF($D$9="",IF($D$11="",IF($D$13="",INDEX(orderHistory[invoice_no],SMALL(MATCH(ROW(orderHistory[customer]),ROW(orderHistory[customer])),ROWS($A$15:A57)+$B$3)),INDEX(orderHistory[invoice_no],SMALL(IF(ISNUMBER(MATCH(orderHistory[order_type],$D$13,0)),MATCH(ROW(orderHistory[customer]),ROW(orderHistory[customer])),""),ROWS($A$15:A57)+$B$3))),IF($D$13="",INDEX(orderHistory[invoice_no],SMALL(IF(ISNUMBER(MATCH(orderHistory[status],$D$11,0)),MATCH(ROW(orderHistory[customer]),ROW(orderHistory[customer])),""),ROWS($A$15:A57)+$B$3)),INDEX(orderHistory[invoice_no],SMALL(IF(ISNUMBER(MATCH(orderHistory[status],$D$11,0)*MATCH(orderHistory[order_type],$D$13,0)),MATCH(ROW(orderHistory[customer]),ROW(orderHistory[customer])),""),ROWS($A$15:A57)+$B$3)))),IF($D$11="",IF($D$13="",INDEX(orderHistory[invoice_no],SMALL(IF(ISNUMBER(MATCH(orderHistory[customer],$D$9,0)),MATCH(ROW(orderHistory[customer]),ROW(orderHistory[customer])),""),ROWS($A$15:A57)+$B$3)),INDEX(orderHistory[invoice_no],SMALL(IF(ISNUMBER(MATCH(orderHistory[customer],$D$9,0)*MATCH(orderHistory[order_type],$D$13,0)),MATCH(ROW(orderHistory[customer]),ROW(orderHistory[customer])),""),ROWS($A$15:A57)+$B$3))),IF($D$13="",INDEX(orderHistory[invoice_no],SMALL(IF(ISNUMBER(MATCH(orderHistory[customer],$D$9,0)*MATCH(orderHistory[status],$D$11,0)),MATCH(ROW(orderHistory[customer]),ROW(orderHistory[customer])),""),ROWS($A$15:A57)+$B$3)),INDEX(orderHistory[invoice_no],SMALL(IF(ISNUMBER(MATCH(orderHistory[customer],$D$9,0)*MATCH(orderHistory[status],$D$11,0)*MATCH(orderHistory[order_type],$D$13,0)),MATCH(ROW(orderHistory[customer]),ROW(orderHistory[customer])),""),ROWS($A$15:A57)+$B$3))))),"")=0,"",IFERROR(IF($D$9="",IF($D$11="",IF($D$13="",INDEX(orderHistory[invoice_no],SMALL(MATCH(ROW(orderHistory[customer]),ROW(orderHistory[customer])),ROWS($A$15:A57)+$B$3)),INDEX(orderHistory[invoice_no],SMALL(IF(ISNUMBER(MATCH(orderHistory[order_type],$D$13,0)),MATCH(ROW(orderHistory[customer]),ROW(orderHistory[customer])),""),ROWS($A$15:A57)+$B$3))),IF($D$13="",INDEX(orderHistory[invoice_no],SMALL(IF(ISNUMBER(MATCH(orderHistory[status],$D$11,0)),MATCH(ROW(orderHistory[customer]),ROW(orderHistory[customer])),""),ROWS($A$15:A57)+$B$3)),INDEX(orderHistory[invoice_no],SMALL(IF(ISNUMBER(MATCH(orderHistory[status],$D$11,0)*MATCH(orderHistory[order_type],$D$13,0)),MATCH(ROW(orderHistory[customer]),ROW(orderHistory[customer])),""),ROWS($A$15:A57)+$B$3)))),IF($D$11="",IF($D$13="",INDEX(orderHistory[invoice_no],SMALL(IF(ISNUMBER(MATCH(orderHistory[customer],$D$9,0)),MATCH(ROW(orderHistory[customer]),ROW(orderHistory[customer])),""),ROWS($A$15:A57)+$B$3)),INDEX(orderHistory[invoice_no],SMALL(IF(ISNUMBER(MATCH(orderHistory[customer],$D$9,0)*MATCH(orderHistory[order_type],$D$13,0)),MATCH(ROW(orderHistory[customer]),ROW(orderHistory[customer])),""),ROWS($A$15:A57)+$B$3))),IF($D$13="",INDEX(orderHistory[invoice_no],SMALL(IF(ISNUMBER(MATCH(orderHistory[customer],$D$9,0)*MATCH(orderHistory[status],$D$11,0)),MATCH(ROW(orderHistory[customer]),ROW(orderHistory[customer])),""),ROWS($A$15:A57)+$B$3)),INDEX(orderHistory[invoice_no],SMALL(IF(ISNUMBER(MATCH(orderHistory[customer],$D$9,0)*MATCH(orderHistory[status],$D$11,0)*MATCH(orderHistory[order_type],$D$13,0)),MATCH(ROW(orderHistory[customer]),ROW(orderHistory[customer])),""),ROWS($A$15:A57)+$B$3))))),""))</f>
        <v/>
      </c>
      <c r="Q52" s="381" t="str">
        <f t="array" ref="Q52">IF(IFERROR(IF($D$9="",IF($D$11="",IF($D$13="",INDEX(orderHistory[invoice_date],SMALL(MATCH(ROW(orderHistory[customer]),ROW(orderHistory[customer])),ROWS($A$15:A57)+$B$3)),INDEX(orderHistory[invoice_date],SMALL(IF(ISNUMBER(MATCH(orderHistory[order_type],$D$13,0)),MATCH(ROW(orderHistory[customer]),ROW(orderHistory[customer])),""),ROWS($A$15:A57)+$B$3))),IF($D$13="",INDEX(orderHistory[invoice_date],SMALL(IF(ISNUMBER(MATCH(orderHistory[status],$D$11,0)),MATCH(ROW(orderHistory[customer]),ROW(orderHistory[customer])),""),ROWS($A$15:A57)+$B$3)),INDEX(orderHistory[invoice_date],SMALL(IF(ISNUMBER(MATCH(orderHistory[status],$D$11,0)*MATCH(orderHistory[order_type],$D$13,0)),MATCH(ROW(orderHistory[customer]),ROW(orderHistory[customer])),""),ROWS($A$15:A57)+$B$3)))),IF($D$11="",IF($D$13="",INDEX(orderHistory[invoice_date],SMALL(IF(ISNUMBER(MATCH(orderHistory[customer],$D$9,0)),MATCH(ROW(orderHistory[customer]),ROW(orderHistory[customer])),""),ROWS($A$15:A57)+$B$3)),INDEX(orderHistory[invoice_date],SMALL(IF(ISNUMBER(MATCH(orderHistory[customer],$D$9,0)*MATCH(orderHistory[order_type],$D$13,0)),MATCH(ROW(orderHistory[customer]),ROW(orderHistory[customer])),""),ROWS($A$15:A57)+$B$3))),IF($D$13="",INDEX(orderHistory[invoice_date],SMALL(IF(ISNUMBER(MATCH(orderHistory[customer],$D$9,0)*MATCH(orderHistory[status],$D$11,0)),MATCH(ROW(orderHistory[customer]),ROW(orderHistory[customer])),""),ROWS($A$15:A57)+$B$3)),INDEX(orderHistory[invoice_date],SMALL(IF(ISNUMBER(MATCH(orderHistory[customer],$D$9,0)*MATCH(orderHistory[status],$D$11,0)*MATCH(orderHistory[order_type],$D$13,0)),MATCH(ROW(orderHistory[customer]),ROW(orderHistory[customer])),""),ROWS($A$15:A57)+$B$3))))),"")=0,"",IFERROR(IF($D$9="",IF($D$11="",IF($D$13="",INDEX(orderHistory[invoice_date],SMALL(MATCH(ROW(orderHistory[customer]),ROW(orderHistory[customer])),ROWS($A$15:A57)+$B$3)),INDEX(orderHistory[invoice_date],SMALL(IF(ISNUMBER(MATCH(orderHistory[order_type],$D$13,0)),MATCH(ROW(orderHistory[customer]),ROW(orderHistory[customer])),""),ROWS($A$15:A57)+$B$3))),IF($D$13="",INDEX(orderHistory[invoice_date],SMALL(IF(ISNUMBER(MATCH(orderHistory[status],$D$11,0)),MATCH(ROW(orderHistory[customer]),ROW(orderHistory[customer])),""),ROWS($A$15:A57)+$B$3)),INDEX(orderHistory[invoice_date],SMALL(IF(ISNUMBER(MATCH(orderHistory[status],$D$11,0)*MATCH(orderHistory[order_type],$D$13,0)),MATCH(ROW(orderHistory[customer]),ROW(orderHistory[customer])),""),ROWS($A$15:A57)+$B$3)))),IF($D$11="",IF($D$13="",INDEX(orderHistory[invoice_date],SMALL(IF(ISNUMBER(MATCH(orderHistory[customer],$D$9,0)),MATCH(ROW(orderHistory[customer]),ROW(orderHistory[customer])),""),ROWS($A$15:A57)+$B$3)),INDEX(orderHistory[invoice_date],SMALL(IF(ISNUMBER(MATCH(orderHistory[customer],$D$9,0)*MATCH(orderHistory[order_type],$D$13,0)),MATCH(ROW(orderHistory[customer]),ROW(orderHistory[customer])),""),ROWS($A$15:A57)+$B$3))),IF($D$13="",INDEX(orderHistory[invoice_date],SMALL(IF(ISNUMBER(MATCH(orderHistory[customer],$D$9,0)*MATCH(orderHistory[status],$D$11,0)),MATCH(ROW(orderHistory[customer]),ROW(orderHistory[customer])),""),ROWS($A$15:A57)+$B$3)),INDEX(orderHistory[invoice_date],SMALL(IF(ISNUMBER(MATCH(orderHistory[customer],$D$9,0)*MATCH(orderHistory[status],$D$11,0)*MATCH(orderHistory[order_type],$D$13,0)),MATCH(ROW(orderHistory[customer]),ROW(orderHistory[customer])),""),ROWS($A$15:A57)+$B$3))))),""))</f>
        <v/>
      </c>
      <c r="R52" s="377" t="str">
        <f t="array" ref="R52">IFERROR(IF($D$9="",IF($D$11="",IF($D$13="",INDEX(orderHistory[inv_amount],SMALL(MATCH(ROW(orderHistory[customer]),ROW(orderHistory[customer])),ROWS($A$15:A57)+$B$3)),INDEX(orderHistory[inv_amount],SMALL(IF(ISNUMBER(MATCH(orderHistory[order_type],$D$13,0)),MATCH(ROW(orderHistory[customer]),ROW(orderHistory[customer])),""),ROWS($A$15:A57)+$B$3))),IF($D$13="",INDEX(orderHistory[inv_amount],SMALL(IF(ISNUMBER(MATCH(orderHistory[status],$D$11,0)),MATCH(ROW(orderHistory[customer]),ROW(orderHistory[customer])),""),ROWS($A$15:A57)+$B$3)),INDEX(orderHistory[inv_amount],SMALL(IF(ISNUMBER(MATCH(orderHistory[status],$D$11,0)*MATCH(orderHistory[order_type],$D$13,0)),MATCH(ROW(orderHistory[customer]),ROW(orderHistory[customer])),""),ROWS($A$15:A57)+$B$3)))),IF($D$11="",IF($D$13="",INDEX(orderHistory[inv_amount],SMALL(IF(ISNUMBER(MATCH(orderHistory[customer],$D$9,0)),MATCH(ROW(orderHistory[customer]),ROW(orderHistory[customer])),""),ROWS($A$15:A57)+$B$3)),INDEX(orderHistory[inv_amount],SMALL(IF(ISNUMBER(MATCH(orderHistory[customer],$D$9,0)*MATCH(orderHistory[order_type],$D$13,0)),MATCH(ROW(orderHistory[customer]),ROW(orderHistory[customer])),""),ROWS($A$15:A57)+$B$3))),IF($D$13="",INDEX(orderHistory[inv_amount],SMALL(IF(ISNUMBER(MATCH(orderHistory[customer],$D$9,0)*MATCH(orderHistory[status],$D$11,0)),MATCH(ROW(orderHistory[customer]),ROW(orderHistory[customer])),""),ROWS($A$15:A57)+$B$3)),INDEX(orderHistory[inv_amount],SMALL(IF(ISNUMBER(MATCH(orderHistory[customer],$D$9,0)*MATCH(orderHistory[status],$D$11,0)*MATCH(orderHistory[order_type],$D$13,0)),MATCH(ROW(orderHistory[customer]),ROW(orderHistory[customer])),""),ROWS($A$15:A57)+$B$3))))),"")</f>
        <v/>
      </c>
      <c r="S52" s="383" t="str">
        <f t="shared" si="1"/>
        <v/>
      </c>
      <c r="T52" s="385" t="str">
        <f t="array" ref="T52">IFERROR(IF($D$9="",IF($D$11="",IF($D$13="",INDEX(orderHistory[payed],SMALL(MATCH(ROW(orderHistory[customer]),ROW(orderHistory[customer])),ROWS($A$15:A57)+$B$3)),INDEX(orderHistory[payed],SMALL(IF(ISNUMBER(MATCH(orderHistory[order_type],$D$13,0)),MATCH(ROW(orderHistory[customer]),ROW(orderHistory[customer])),""),ROWS($A$15:A57)+$B$3))),IF($D$13="",INDEX(orderHistory[payed],SMALL(IF(ISNUMBER(MATCH(orderHistory[status],$D$11,0)),MATCH(ROW(orderHistory[customer]),ROW(orderHistory[customer])),""),ROWS($A$15:A57)+$B$3)),INDEX(orderHistory[payed],SMALL(IF(ISNUMBER(MATCH(orderHistory[status],$D$11,0)*MATCH(orderHistory[order_type],$D$13,0)),MATCH(ROW(orderHistory[customer]),ROW(orderHistory[customer])),""),ROWS($A$15:A57)+$B$3)))),IF($D$11="",IF($D$13="",INDEX(orderHistory[payed],SMALL(IF(ISNUMBER(MATCH(orderHistory[customer],$D$9,0)),MATCH(ROW(orderHistory[customer]),ROW(orderHistory[customer])),""),ROWS($A$15:A57)+$B$3)),INDEX(orderHistory[payed],SMALL(IF(ISNUMBER(MATCH(orderHistory[customer],$D$9,0)*MATCH(orderHistory[order_type],$D$13,0)),MATCH(ROW(orderHistory[customer]),ROW(orderHistory[customer])),""),ROWS($A$15:A57)+$B$3))),IF($D$13="",INDEX(orderHistory[payed],SMALL(IF(ISNUMBER(MATCH(orderHistory[customer],$D$9,0)*MATCH(orderHistory[status],$D$11,0)),MATCH(ROW(orderHistory[customer]),ROW(orderHistory[customer])),""),ROWS($A$15:A57)+$B$3)),INDEX(orderHistory[payed],SMALL(IF(ISNUMBER(MATCH(orderHistory[customer],$D$9,0)*MATCH(orderHistory[status],$D$11,0)*MATCH(orderHistory[order_type],$D$13,0)),MATCH(ROW(orderHistory[customer]),ROW(orderHistory[customer])),""),ROWS($A$15:A57)+$B$3))))),"")</f>
        <v/>
      </c>
      <c r="U52" s="386" t="str">
        <f t="array" ref="U52">IFERROR(IF($D$9="",IF($D$11="",IF($D$13="",INDEX(orderHistory[shipping_method],SMALL(MATCH(ROW(orderHistory[customer]),ROW(orderHistory[customer])),ROWS($A$15:A57)+$B$3)),INDEX(orderHistory[shipping_method],SMALL(IF(ISNUMBER(MATCH(orderHistory[order_type],$D$13,0)),MATCH(ROW(orderHistory[customer]),ROW(orderHistory[customer])),""),ROWS($A$15:A57)+$B$3))),IF($D$13="",INDEX(orderHistory[shipping_method],SMALL(IF(ISNUMBER(MATCH(orderHistory[status],$D$11,0)),MATCH(ROW(orderHistory[customer]),ROW(orderHistory[customer])),""),ROWS($A$15:A57)+$B$3)),INDEX(orderHistory[shipping_method],SMALL(IF(ISNUMBER(MATCH(orderHistory[status],$D$11,0)*MATCH(orderHistory[order_type],$D$13,0)),MATCH(ROW(orderHistory[customer]),ROW(orderHistory[customer])),""),ROWS($A$15:A57)+$B$3)))),IF($D$11="",IF($D$13="",INDEX(orderHistory[shipping_method],SMALL(IF(ISNUMBER(MATCH(orderHistory[customer],$D$9,0)),MATCH(ROW(orderHistory[customer]),ROW(orderHistory[customer])),""),ROWS($A$15:A57)+$B$3)),INDEX(orderHistory[shipping_method],SMALL(IF(ISNUMBER(MATCH(orderHistory[customer],$D$9,0)*MATCH(orderHistory[order_type],$D$13,0)),MATCH(ROW(orderHistory[customer]),ROW(orderHistory[customer])),""),ROWS($A$15:A57)+$B$3))),IF($D$13="",INDEX(orderHistory[shipping_method],SMALL(IF(ISNUMBER(MATCH(orderHistory[customer],$D$9,0)*MATCH(orderHistory[status],$D$11,0)),MATCH(ROW(orderHistory[customer]),ROW(orderHistory[customer])),""),ROWS($A$15:A57)+$B$3)),INDEX(orderHistory[shipping_method],SMALL(IF(ISNUMBER(MATCH(orderHistory[customer],$D$9,0)*MATCH(orderHistory[status],$D$11,0)*MATCH(orderHistory[order_type],$D$13,0)),MATCH(ROW(orderHistory[customer]),ROW(orderHistory[customer])),""),ROWS($A$15:A57)+$B$3))))),"")</f>
        <v/>
      </c>
      <c r="V52" s="387" t="str">
        <f t="array" ref="V52">IFERROR(IF($D$9="",IF($D$11="",IF($D$13="",INDEX(orderHistory[status],SMALL(MATCH(ROW(orderHistory[customer]),ROW(orderHistory[customer])),ROWS($A$15:A57)+$B$3)),INDEX(orderHistory[status],SMALL(IF(ISNUMBER(MATCH(orderHistory[order_type],$D$13,0)),MATCH(ROW(orderHistory[customer]),ROW(orderHistory[customer])),""),ROWS($A$15:A57)+$B$3))),IF($D$13="",INDEX(orderHistory[status],SMALL(IF(ISNUMBER(MATCH(orderHistory[status],$D$11,0)),MATCH(ROW(orderHistory[customer]),ROW(orderHistory[customer])),""),ROWS($A$15:A57)+$B$3)),INDEX(orderHistory[status],SMALL(IF(ISNUMBER(MATCH(orderHistory[status],$D$11,0)*MATCH(orderHistory[order_type],$D$13,0)),MATCH(ROW(orderHistory[customer]),ROW(orderHistory[customer])),""),ROWS($A$15:A57)+$B$3)))),IF($D$11="",IF($D$13="",INDEX(orderHistory[status],SMALL(IF(ISNUMBER(MATCH(orderHistory[customer],$D$9,0)),MATCH(ROW(orderHistory[customer]),ROW(orderHistory[customer])),""),ROWS($A$15:A57)+$B$3)),INDEX(orderHistory[status],SMALL(IF(ISNUMBER(MATCH(orderHistory[customer],$D$9,0)*MATCH(orderHistory[order_type],$D$13,0)),MATCH(ROW(orderHistory[customer]),ROW(orderHistory[customer])),""),ROWS($A$15:A57)+$B$3))),IF($D$13="",INDEX(orderHistory[status],SMALL(IF(ISNUMBER(MATCH(orderHistory[customer],$D$9,0)*MATCH(orderHistory[status],$D$11,0)),MATCH(ROW(orderHistory[customer]),ROW(orderHistory[customer])),""),ROWS($A$15:A57)+$B$3)),INDEX(orderHistory[status],SMALL(IF(ISNUMBER(MATCH(orderHistory[customer],$D$9,0)*MATCH(orderHistory[status],$D$11,0)*MATCH(orderHistory[order_type],$D$13,0)),MATCH(ROW(orderHistory[customer]),ROW(orderHistory[customer])),""),ROWS($A$15:A57)+$B$3))))),"")</f>
        <v/>
      </c>
      <c r="W52" s="17"/>
      <c r="X52" s="17"/>
      <c r="AQ52" s="191"/>
      <c r="AR52" s="191" t="s">
        <v>740</v>
      </c>
      <c r="BG52"/>
      <c r="BK52" s="146"/>
      <c r="BL52" s="147"/>
      <c r="BM52" s="148"/>
      <c r="BN52" s="147"/>
      <c r="BO52" s="148"/>
      <c r="BZ52" s="305"/>
      <c r="CA52" s="270" t="str">
        <f>IF(BZ52="","",VLOOKUP(BZ52,bhpc_data[],7,FALSE))</f>
        <v/>
      </c>
      <c r="CB52" s="296"/>
      <c r="CC52" s="642"/>
      <c r="CD52" s="297"/>
      <c r="CE52" s="645"/>
      <c r="CF52" s="298"/>
      <c r="CG52" s="301" t="str">
        <f>IFERROR(ROUNDUP(CB52/VLOOKUP(BZ52,bhpc_data[],9,FALSE),0)+ROUNDUP(CD52/VLOOKUP(BZ52,bhpc_data[],9,FALSE),0),"")</f>
        <v/>
      </c>
      <c r="CH52" s="302" t="str">
        <f>IFERROR(ROUNDUP(CD52/VLOOKUP(BZ52,bhpc_data[],9,FALSE),0),"")</f>
        <v/>
      </c>
      <c r="CI52" s="302" t="str">
        <f>IFERROR(ROUNDUP(CF52/VLOOKUP(BZ52,bhpc_data[],9,FALSE),0),"")</f>
        <v/>
      </c>
      <c r="CJ52" s="302" t="str">
        <f>IFERROR(((CB52+CD52+CF52)/VLOOKUP(BZ52,bhpc_data[],9,FALSE))*VLOOKUP(BZ52,bhpc_data[],17,FALSE),"")</f>
        <v/>
      </c>
      <c r="CK52" s="302" t="str">
        <f>IFERROR(((CB52+CD52+CF52)/VLOOKUP(BZ52,bhpc_data[],9,FALSE))*VLOOKUP(BZ52,bhpc_data[],18,FALSE),"")</f>
        <v/>
      </c>
      <c r="CL52" s="346" t="str">
        <f>IFERROR((CB52+CD52)/VLOOKUP(BZ52,bhpc_data[],9,FALSE)*VLOOKUP(BZ52,bhpc_data[],14,FALSE)*VLOOKUP(BZ52,bhpc_data[],15,FALSE)*VLOOKUP(BZ52,bhpc_data[],16,FALSE)/1000000000,"")</f>
        <v/>
      </c>
      <c r="CM52" s="409" t="str">
        <f>IFERROR(VLOOKUP(BZ52,bhpc_data[],2,FALSE),"")</f>
        <v/>
      </c>
      <c r="CN52" s="409" t="str">
        <f>IFERROR(VLOOKUP(BZ52,bhpc_data[],19,FALSE),"")</f>
        <v/>
      </c>
      <c r="CO52" s="653" t="str">
        <f>IFERROR(VLOOKUP(BZ52,bhpc_data[],6,FALSE),"")</f>
        <v/>
      </c>
      <c r="CP52" s="654" t="str">
        <f>IFERROR(VLOOKUP(BZ52,inventory[],4,FALSE),"")</f>
        <v/>
      </c>
      <c r="CQ52" s="651" t="str">
        <f>IFERROR(IF(BZ52="","",IF($BX$15="SALE",VLOOKUP(BZ52,inventory[],5,FALSE),IF($BX$15="SAMPLING",VLOOKUP(BZ52,inventory[],5,FALSE),""))),"")</f>
        <v/>
      </c>
      <c r="CR52" s="652" t="str">
        <f>IFERROR(IF(BZ52="","",(CB52+CD52+CF52)*CQ52),"")</f>
        <v/>
      </c>
      <c r="CS52" s="557" t="str">
        <f>IF(BZ52="","",CB52*CC52+CD52*CE52)</f>
        <v/>
      </c>
      <c r="CU52" s="607"/>
      <c r="CV52" s="411">
        <f>ROUNDUP(SUMIFS(bhpc_data[pallet],bhpc_data[sex],"MAN"),0)</f>
        <v>1</v>
      </c>
      <c r="CW52" s="411">
        <f>ROUNDUP(SUMIFS(bhpc_data[pallet],bhpc_data[sex],"WOMAN"),0)</f>
        <v>0</v>
      </c>
      <c r="CX52" s="411">
        <f>ROUNDUP(SUMIFS(bhpc_data[pallet_euro],bhpc_data[sex],"MAN"),0)</f>
        <v>1</v>
      </c>
      <c r="CY52" s="411">
        <f>ROUNDUP(SUMIFS(bhpc_data[pallet_euro],bhpc_data[sex],"WOMAN"),0)</f>
        <v>0</v>
      </c>
      <c r="CZ52" s="608"/>
      <c r="DA52" s="540" t="str">
        <f>IFERROR(VLOOKUP(BZ52,bhpc_data[],22,FALSE),"")</f>
        <v/>
      </c>
      <c r="EE52" s="454" t="s">
        <v>130</v>
      </c>
      <c r="EF52" s="447" t="str">
        <f>VLOOKUP(EE52,bhpc_data[],7,FALSE)</f>
        <v>BHPC PRESTIGE HERITAGE OUD 100ML EDP MEN</v>
      </c>
      <c r="EG52" s="555">
        <f>IFERROR(VLOOKUP(EE52,inventory[],4,FALSE),0)</f>
        <v>1535</v>
      </c>
      <c r="EH52" s="555">
        <f>IFERROR(VLOOKUP(warehouse[[#This Row],[SKU]],$EQ$10:$ES$38,3,FALSE),0)</f>
        <v>0</v>
      </c>
      <c r="EI52" s="555">
        <f>IFERROR(VLOOKUP(warehouse[[#This Row],[SKU]],$EM$10:$EO$61,3,FALSE),0)</f>
        <v>1388</v>
      </c>
      <c r="EJ52" s="555">
        <f>warehouse[[#This Row],[T-1]]+warehouse[[#This Row],[SUPPLY]]-warehouse[[#This Row],[SALE + SAMPLING]]</f>
        <v>147</v>
      </c>
      <c r="EK52" s="449"/>
      <c r="EM52" s="74" t="s">
        <v>201</v>
      </c>
      <c r="EN52" s="74" t="s">
        <v>203</v>
      </c>
      <c r="EO52" s="431">
        <v>22092</v>
      </c>
    </row>
    <row r="53" spans="10:145" ht="15" customHeight="1">
      <c r="J53" s="17"/>
      <c r="K53" s="17"/>
      <c r="L53" s="274" t="str">
        <f t="array" ref="L53">IFERROR(IF($D$9="",IF($D$11="",IF($D$13="",INDEX(orderHistory[customer],SMALL(MATCH(ROW(orderHistory[customer]),ROW(orderHistory[customer])),ROWS($A$15:A58)+$B$3)),INDEX(orderHistory[customer],SMALL(IF(ISNUMBER(MATCH(orderHistory[order_type],$D$13,0)),MATCH(ROW(orderHistory[customer]),ROW(orderHistory[customer])),""),ROWS($A$15:A58)+$B$3))),IF($D$13="",INDEX(orderHistory[customer],SMALL(IF(ISNUMBER(MATCH(orderHistory[status],$D$11,0)),MATCH(ROW(orderHistory[customer]),ROW(orderHistory[customer])),""),ROWS($A$15:A58)+$B$3)),INDEX(orderHistory[customer],SMALL(IF(ISNUMBER(MATCH(orderHistory[status],$D$11,0)*MATCH(orderHistory[order_type],$D$13,0)),MATCH(ROW(orderHistory[customer]),ROW(orderHistory[customer])),""),ROWS($A$15:A58)+$B$3)))),IF($D$11="",IF($D$13="",INDEX(orderHistory[customer],SMALL(IF(ISNUMBER(MATCH(orderHistory[customer],$D$9,0)),MATCH(ROW(orderHistory[customer]),ROW(orderHistory[customer])),""),ROWS($A$15:A58)+$B$3)),INDEX(orderHistory[customer],SMALL(IF(ISNUMBER(MATCH(orderHistory[customer],$D$9,0)*MATCH(orderHistory[order_type],$D$13,0)),MATCH(ROW(orderHistory[customer]),ROW(orderHistory[customer])),""),ROWS($A$15:A58)+$B$3))),IF($D$13="",INDEX(orderHistory[customer],SMALL(IF(ISNUMBER(MATCH(orderHistory[customer],$D$9,0)*MATCH(orderHistory[status],$D$11,0)),MATCH(ROW(orderHistory[customer]),ROW(orderHistory[customer])),""),ROWS($A$15:A58)+$B$3)),INDEX(orderHistory[customer],SMALL(IF(ISNUMBER(MATCH(orderHistory[customer],$D$9,0)*MATCH(orderHistory[status],$D$11,0)*MATCH(orderHistory[order_type],$D$13,0)),MATCH(ROW(orderHistory[customer]),ROW(orderHistory[customer])),""),ROWS($A$15:A58)+$B$3))))),"")</f>
        <v/>
      </c>
      <c r="M53" s="391" t="str">
        <f t="array" ref="M53">IFERROR(IF($D$9="",IF($D$11="",IF($D$13="",INDEX(orderHistory[order_no],SMALL(MATCH(ROW(orderHistory[customer]),ROW(orderHistory[customer])),ROWS($A$15:A58)+$B$3)),INDEX(orderHistory[order_no],SMALL(IF(ISNUMBER(MATCH(orderHistory[order_type],$D$13,0)),MATCH(ROW(orderHistory[customer]),ROW(orderHistory[customer])),""),ROWS($A$15:A58)+$B$3))),IF($D$13="",INDEX(orderHistory[order_no],SMALL(IF(ISNUMBER(MATCH(orderHistory[status],$D$11,0)),MATCH(ROW(orderHistory[customer]),ROW(orderHistory[customer])),""),ROWS($A$15:A58)+$B$3)),INDEX(orderHistory[order_no],SMALL(IF(ISNUMBER(MATCH(orderHistory[status],$D$11,0)*MATCH(orderHistory[order_type],$D$13,0)),MATCH(ROW(orderHistory[customer]),ROW(orderHistory[customer])),""),ROWS($A$15:A58)+$B$3)))),IF($D$11="",IF($D$13="",INDEX(orderHistory[order_no],SMALL(IF(ISNUMBER(MATCH(orderHistory[customer],$D$9,0)),MATCH(ROW(orderHistory[customer]),ROW(orderHistory[customer])),""),ROWS($A$15:A58)+$B$3)),INDEX(orderHistory[order_no],SMALL(IF(ISNUMBER(MATCH(orderHistory[customer],$D$9,0)*MATCH(orderHistory[order_type],$D$13,0)),MATCH(ROW(orderHistory[customer]),ROW(orderHistory[customer])),""),ROWS($A$15:A58)+$B$3))),IF($D$13="",INDEX(orderHistory[order_no],SMALL(IF(ISNUMBER(MATCH(orderHistory[customer],$D$9,0)*MATCH(orderHistory[status],$D$11,0)),MATCH(ROW(orderHistory[customer]),ROW(orderHistory[customer])),""),ROWS($A$15:A58)+$B$3)),INDEX(orderHistory[order_no],SMALL(IF(ISNUMBER(MATCH(orderHistory[customer],$D$9,0)*MATCH(orderHistory[status],$D$11,0)*MATCH(orderHistory[order_type],$D$13,0)),MATCH(ROW(orderHistory[customer]),ROW(orderHistory[customer])),""),ROWS($A$15:A58)+$B$3))))),"")</f>
        <v/>
      </c>
      <c r="N53" s="386" t="str">
        <f t="array" ref="N53">IFERROR(IF($D$9="",IF($D$11="",IF($D$13="",INDEX(orderHistory[order_type],SMALL(MATCH(ROW(orderHistory[customer]),ROW(orderHistory[customer])),ROWS($A$15:A58)+$B$3)),INDEX(orderHistory[order_type],SMALL(IF(ISNUMBER(MATCH(orderHistory[order_type],$D$13,0)),MATCH(ROW(orderHistory[customer]),ROW(orderHistory[customer])),""),ROWS($A$15:A58)+$B$3))),IF($D$13="",INDEX(orderHistory[order_type],SMALL(IF(ISNUMBER(MATCH(orderHistory[status],$D$11,0)),MATCH(ROW(orderHistory[customer]),ROW(orderHistory[customer])),""),ROWS($A$15:A58)+$B$3)),INDEX(orderHistory[order_type],SMALL(IF(ISNUMBER(MATCH(orderHistory[status],$D$11,0)*MATCH(orderHistory[order_type],$D$13,0)),MATCH(ROW(orderHistory[customer]),ROW(orderHistory[customer])),""),ROWS($A$15:A58)+$B$3)))),IF($D$11="",IF($D$13="",INDEX(orderHistory[order_type],SMALL(IF(ISNUMBER(MATCH(orderHistory[customer],$D$9,0)),MATCH(ROW(orderHistory[customer]),ROW(orderHistory[customer])),""),ROWS($A$15:A58)+$B$3)),INDEX(orderHistory[order_type],SMALL(IF(ISNUMBER(MATCH(orderHistory[customer],$D$9,0)*MATCH(orderHistory[order_type],$D$13,0)),MATCH(ROW(orderHistory[customer]),ROW(orderHistory[customer])),""),ROWS($A$15:A58)+$B$3))),IF($D$13="",INDEX(orderHistory[order_type],SMALL(IF(ISNUMBER(MATCH(orderHistory[customer],$D$9,0)*MATCH(orderHistory[status],$D$11,0)),MATCH(ROW(orderHistory[customer]),ROW(orderHistory[customer])),""),ROWS($A$15:A58)+$B$3)),INDEX(orderHistory[order_type],SMALL(IF(ISNUMBER(MATCH(orderHistory[customer],$D$9,0)*MATCH(orderHistory[status],$D$11,0)*MATCH(orderHistory[order_type],$D$13,0)),MATCH(ROW(orderHistory[customer]),ROW(orderHistory[customer])),""),ROWS($A$15:A58)+$B$3))))),"")</f>
        <v/>
      </c>
      <c r="O53" s="275" t="str">
        <f t="array" ref="O53">IFERROR(IF($D$9="",IF($D$11="",IF($D$13="",INDEX(orderHistory[order_date],SMALL(MATCH(ROW(orderHistory[customer]),ROW(orderHistory[customer])),ROWS($A$15:A58)+$B$3)),INDEX(orderHistory[order_date],SMALL(IF(ISNUMBER(MATCH(orderHistory[order_type],$D$13,0)),MATCH(ROW(orderHistory[customer]),ROW(orderHistory[customer])),""),ROWS($A$15:A58)+$B$3))),IF($D$13="",INDEX(orderHistory[order_date],SMALL(IF(ISNUMBER(MATCH(orderHistory[status],$D$11,0)),MATCH(ROW(orderHistory[customer]),ROW(orderHistory[customer])),""),ROWS($A$15:A58)+$B$3)),INDEX(orderHistory[order_date],SMALL(IF(ISNUMBER(MATCH(orderHistory[status],$D$11,0)*MATCH(orderHistory[order_type],$D$13,0)),MATCH(ROW(orderHistory[customer]),ROW(orderHistory[customer])),""),ROWS($A$15:A58)+$B$3)))),IF($D$11="",IF($D$13="",INDEX(orderHistory[order_date],SMALL(IF(ISNUMBER(MATCH(orderHistory[customer],$D$9,0)),MATCH(ROW(orderHistory[customer]),ROW(orderHistory[customer])),""),ROWS($A$15:A58)+$B$3)),INDEX(orderHistory[order_date],SMALL(IF(ISNUMBER(MATCH(orderHistory[customer],$D$9,0)*MATCH(orderHistory[order_type],$D$13,0)),MATCH(ROW(orderHistory[customer]),ROW(orderHistory[customer])),""),ROWS($A$15:A58)+$B$3))),IF($D$13="",INDEX(orderHistory[order_date],SMALL(IF(ISNUMBER(MATCH(orderHistory[customer],$D$9,0)*MATCH(orderHistory[status],$D$11,0)),MATCH(ROW(orderHistory[customer]),ROW(orderHistory[customer])),""),ROWS($A$15:A58)+$B$3)),INDEX(orderHistory[order_date],SMALL(IF(ISNUMBER(MATCH(orderHistory[customer],$D$9,0)*MATCH(orderHistory[status],$D$11,0)*MATCH(orderHistory[order_type],$D$13,0)),MATCH(ROW(orderHistory[customer]),ROW(orderHistory[customer])),""),ROWS($A$15:A58)+$B$3))))),"")</f>
        <v/>
      </c>
      <c r="P53" s="379" t="str">
        <f t="array" ref="P53">IF(IFERROR(IF($D$9="",IF($D$11="",IF($D$13="",INDEX(orderHistory[invoice_no],SMALL(MATCH(ROW(orderHistory[customer]),ROW(orderHistory[customer])),ROWS($A$15:A58)+$B$3)),INDEX(orderHistory[invoice_no],SMALL(IF(ISNUMBER(MATCH(orderHistory[order_type],$D$13,0)),MATCH(ROW(orderHistory[customer]),ROW(orderHistory[customer])),""),ROWS($A$15:A58)+$B$3))),IF($D$13="",INDEX(orderHistory[invoice_no],SMALL(IF(ISNUMBER(MATCH(orderHistory[status],$D$11,0)),MATCH(ROW(orderHistory[customer]),ROW(orderHistory[customer])),""),ROWS($A$15:A58)+$B$3)),INDEX(orderHistory[invoice_no],SMALL(IF(ISNUMBER(MATCH(orderHistory[status],$D$11,0)*MATCH(orderHistory[order_type],$D$13,0)),MATCH(ROW(orderHistory[customer]),ROW(orderHistory[customer])),""),ROWS($A$15:A58)+$B$3)))),IF($D$11="",IF($D$13="",INDEX(orderHistory[invoice_no],SMALL(IF(ISNUMBER(MATCH(orderHistory[customer],$D$9,0)),MATCH(ROW(orderHistory[customer]),ROW(orderHistory[customer])),""),ROWS($A$15:A58)+$B$3)),INDEX(orderHistory[invoice_no],SMALL(IF(ISNUMBER(MATCH(orderHistory[customer],$D$9,0)*MATCH(orderHistory[order_type],$D$13,0)),MATCH(ROW(orderHistory[customer]),ROW(orderHistory[customer])),""),ROWS($A$15:A58)+$B$3))),IF($D$13="",INDEX(orderHistory[invoice_no],SMALL(IF(ISNUMBER(MATCH(orderHistory[customer],$D$9,0)*MATCH(orderHistory[status],$D$11,0)),MATCH(ROW(orderHistory[customer]),ROW(orderHistory[customer])),""),ROWS($A$15:A58)+$B$3)),INDEX(orderHistory[invoice_no],SMALL(IF(ISNUMBER(MATCH(orderHistory[customer],$D$9,0)*MATCH(orderHistory[status],$D$11,0)*MATCH(orderHistory[order_type],$D$13,0)),MATCH(ROW(orderHistory[customer]),ROW(orderHistory[customer])),""),ROWS($A$15:A58)+$B$3))))),"")=0,"",IFERROR(IF($D$9="",IF($D$11="",IF($D$13="",INDEX(orderHistory[invoice_no],SMALL(MATCH(ROW(orderHistory[customer]),ROW(orderHistory[customer])),ROWS($A$15:A58)+$B$3)),INDEX(orderHistory[invoice_no],SMALL(IF(ISNUMBER(MATCH(orderHistory[order_type],$D$13,0)),MATCH(ROW(orderHistory[customer]),ROW(orderHistory[customer])),""),ROWS($A$15:A58)+$B$3))),IF($D$13="",INDEX(orderHistory[invoice_no],SMALL(IF(ISNUMBER(MATCH(orderHistory[status],$D$11,0)),MATCH(ROW(orderHistory[customer]),ROW(orderHistory[customer])),""),ROWS($A$15:A58)+$B$3)),INDEX(orderHistory[invoice_no],SMALL(IF(ISNUMBER(MATCH(orderHistory[status],$D$11,0)*MATCH(orderHistory[order_type],$D$13,0)),MATCH(ROW(orderHistory[customer]),ROW(orderHistory[customer])),""),ROWS($A$15:A58)+$B$3)))),IF($D$11="",IF($D$13="",INDEX(orderHistory[invoice_no],SMALL(IF(ISNUMBER(MATCH(orderHistory[customer],$D$9,0)),MATCH(ROW(orderHistory[customer]),ROW(orderHistory[customer])),""),ROWS($A$15:A58)+$B$3)),INDEX(orderHistory[invoice_no],SMALL(IF(ISNUMBER(MATCH(orderHistory[customer],$D$9,0)*MATCH(orderHistory[order_type],$D$13,0)),MATCH(ROW(orderHistory[customer]),ROW(orderHistory[customer])),""),ROWS($A$15:A58)+$B$3))),IF($D$13="",INDEX(orderHistory[invoice_no],SMALL(IF(ISNUMBER(MATCH(orderHistory[customer],$D$9,0)*MATCH(orderHistory[status],$D$11,0)),MATCH(ROW(orderHistory[customer]),ROW(orderHistory[customer])),""),ROWS($A$15:A58)+$B$3)),INDEX(orderHistory[invoice_no],SMALL(IF(ISNUMBER(MATCH(orderHistory[customer],$D$9,0)*MATCH(orderHistory[status],$D$11,0)*MATCH(orderHistory[order_type],$D$13,0)),MATCH(ROW(orderHistory[customer]),ROW(orderHistory[customer])),""),ROWS($A$15:A58)+$B$3))))),""))</f>
        <v/>
      </c>
      <c r="Q53" s="381" t="str">
        <f t="array" ref="Q53">IF(IFERROR(IF($D$9="",IF($D$11="",IF($D$13="",INDEX(orderHistory[invoice_date],SMALL(MATCH(ROW(orderHistory[customer]),ROW(orderHistory[customer])),ROWS($A$15:A58)+$B$3)),INDEX(orderHistory[invoice_date],SMALL(IF(ISNUMBER(MATCH(orderHistory[order_type],$D$13,0)),MATCH(ROW(orderHistory[customer]),ROW(orderHistory[customer])),""),ROWS($A$15:A58)+$B$3))),IF($D$13="",INDEX(orderHistory[invoice_date],SMALL(IF(ISNUMBER(MATCH(orderHistory[status],$D$11,0)),MATCH(ROW(orderHistory[customer]),ROW(orderHistory[customer])),""),ROWS($A$15:A58)+$B$3)),INDEX(orderHistory[invoice_date],SMALL(IF(ISNUMBER(MATCH(orderHistory[status],$D$11,0)*MATCH(orderHistory[order_type],$D$13,0)),MATCH(ROW(orderHistory[customer]),ROW(orderHistory[customer])),""),ROWS($A$15:A58)+$B$3)))),IF($D$11="",IF($D$13="",INDEX(orderHistory[invoice_date],SMALL(IF(ISNUMBER(MATCH(orderHistory[customer],$D$9,0)),MATCH(ROW(orderHistory[customer]),ROW(orderHistory[customer])),""),ROWS($A$15:A58)+$B$3)),INDEX(orderHistory[invoice_date],SMALL(IF(ISNUMBER(MATCH(orderHistory[customer],$D$9,0)*MATCH(orderHistory[order_type],$D$13,0)),MATCH(ROW(orderHistory[customer]),ROW(orderHistory[customer])),""),ROWS($A$15:A58)+$B$3))),IF($D$13="",INDEX(orderHistory[invoice_date],SMALL(IF(ISNUMBER(MATCH(orderHistory[customer],$D$9,0)*MATCH(orderHistory[status],$D$11,0)),MATCH(ROW(orderHistory[customer]),ROW(orderHistory[customer])),""),ROWS($A$15:A58)+$B$3)),INDEX(orderHistory[invoice_date],SMALL(IF(ISNUMBER(MATCH(orderHistory[customer],$D$9,0)*MATCH(orderHistory[status],$D$11,0)*MATCH(orderHistory[order_type],$D$13,0)),MATCH(ROW(orderHistory[customer]),ROW(orderHistory[customer])),""),ROWS($A$15:A58)+$B$3))))),"")=0,"",IFERROR(IF($D$9="",IF($D$11="",IF($D$13="",INDEX(orderHistory[invoice_date],SMALL(MATCH(ROW(orderHistory[customer]),ROW(orderHistory[customer])),ROWS($A$15:A58)+$B$3)),INDEX(orderHistory[invoice_date],SMALL(IF(ISNUMBER(MATCH(orderHistory[order_type],$D$13,0)),MATCH(ROW(orderHistory[customer]),ROW(orderHistory[customer])),""),ROWS($A$15:A58)+$B$3))),IF($D$13="",INDEX(orderHistory[invoice_date],SMALL(IF(ISNUMBER(MATCH(orderHistory[status],$D$11,0)),MATCH(ROW(orderHistory[customer]),ROW(orderHistory[customer])),""),ROWS($A$15:A58)+$B$3)),INDEX(orderHistory[invoice_date],SMALL(IF(ISNUMBER(MATCH(orderHistory[status],$D$11,0)*MATCH(orderHistory[order_type],$D$13,0)),MATCH(ROW(orderHistory[customer]),ROW(orderHistory[customer])),""),ROWS($A$15:A58)+$B$3)))),IF($D$11="",IF($D$13="",INDEX(orderHistory[invoice_date],SMALL(IF(ISNUMBER(MATCH(orderHistory[customer],$D$9,0)),MATCH(ROW(orderHistory[customer]),ROW(orderHistory[customer])),""),ROWS($A$15:A58)+$B$3)),INDEX(orderHistory[invoice_date],SMALL(IF(ISNUMBER(MATCH(orderHistory[customer],$D$9,0)*MATCH(orderHistory[order_type],$D$13,0)),MATCH(ROW(orderHistory[customer]),ROW(orderHistory[customer])),""),ROWS($A$15:A58)+$B$3))),IF($D$13="",INDEX(orderHistory[invoice_date],SMALL(IF(ISNUMBER(MATCH(orderHistory[customer],$D$9,0)*MATCH(orderHistory[status],$D$11,0)),MATCH(ROW(orderHistory[customer]),ROW(orderHistory[customer])),""),ROWS($A$15:A58)+$B$3)),INDEX(orderHistory[invoice_date],SMALL(IF(ISNUMBER(MATCH(orderHistory[customer],$D$9,0)*MATCH(orderHistory[status],$D$11,0)*MATCH(orderHistory[order_type],$D$13,0)),MATCH(ROW(orderHistory[customer]),ROW(orderHistory[customer])),""),ROWS($A$15:A58)+$B$3))))),""))</f>
        <v/>
      </c>
      <c r="R53" s="377" t="str">
        <f t="array" ref="R53">IFERROR(IF($D$9="",IF($D$11="",IF($D$13="",INDEX(orderHistory[inv_amount],SMALL(MATCH(ROW(orderHistory[customer]),ROW(orderHistory[customer])),ROWS($A$15:A58)+$B$3)),INDEX(orderHistory[inv_amount],SMALL(IF(ISNUMBER(MATCH(orderHistory[order_type],$D$13,0)),MATCH(ROW(orderHistory[customer]),ROW(orderHistory[customer])),""),ROWS($A$15:A58)+$B$3))),IF($D$13="",INDEX(orderHistory[inv_amount],SMALL(IF(ISNUMBER(MATCH(orderHistory[status],$D$11,0)),MATCH(ROW(orderHistory[customer]),ROW(orderHistory[customer])),""),ROWS($A$15:A58)+$B$3)),INDEX(orderHistory[inv_amount],SMALL(IF(ISNUMBER(MATCH(orderHistory[status],$D$11,0)*MATCH(orderHistory[order_type],$D$13,0)),MATCH(ROW(orderHistory[customer]),ROW(orderHistory[customer])),""),ROWS($A$15:A58)+$B$3)))),IF($D$11="",IF($D$13="",INDEX(orderHistory[inv_amount],SMALL(IF(ISNUMBER(MATCH(orderHistory[customer],$D$9,0)),MATCH(ROW(orderHistory[customer]),ROW(orderHistory[customer])),""),ROWS($A$15:A58)+$B$3)),INDEX(orderHistory[inv_amount],SMALL(IF(ISNUMBER(MATCH(orderHistory[customer],$D$9,0)*MATCH(orderHistory[order_type],$D$13,0)),MATCH(ROW(orderHistory[customer]),ROW(orderHistory[customer])),""),ROWS($A$15:A58)+$B$3))),IF($D$13="",INDEX(orderHistory[inv_amount],SMALL(IF(ISNUMBER(MATCH(orderHistory[customer],$D$9,0)*MATCH(orderHistory[status],$D$11,0)),MATCH(ROW(orderHistory[customer]),ROW(orderHistory[customer])),""),ROWS($A$15:A58)+$B$3)),INDEX(orderHistory[inv_amount],SMALL(IF(ISNUMBER(MATCH(orderHistory[customer],$D$9,0)*MATCH(orderHistory[status],$D$11,0)*MATCH(orderHistory[order_type],$D$13,0)),MATCH(ROW(orderHistory[customer]),ROW(orderHistory[customer])),""),ROWS($A$15:A58)+$B$3))))),"")</f>
        <v/>
      </c>
      <c r="S53" s="383" t="str">
        <f t="shared" si="1"/>
        <v/>
      </c>
      <c r="T53" s="385" t="str">
        <f t="array" ref="T53">IFERROR(IF($D$9="",IF($D$11="",IF($D$13="",INDEX(orderHistory[payed],SMALL(MATCH(ROW(orderHistory[customer]),ROW(orderHistory[customer])),ROWS($A$15:A58)+$B$3)),INDEX(orderHistory[payed],SMALL(IF(ISNUMBER(MATCH(orderHistory[order_type],$D$13,0)),MATCH(ROW(orderHistory[customer]),ROW(orderHistory[customer])),""),ROWS($A$15:A58)+$B$3))),IF($D$13="",INDEX(orderHistory[payed],SMALL(IF(ISNUMBER(MATCH(orderHistory[status],$D$11,0)),MATCH(ROW(orderHistory[customer]),ROW(orderHistory[customer])),""),ROWS($A$15:A58)+$B$3)),INDEX(orderHistory[payed],SMALL(IF(ISNUMBER(MATCH(orderHistory[status],$D$11,0)*MATCH(orderHistory[order_type],$D$13,0)),MATCH(ROW(orderHistory[customer]),ROW(orderHistory[customer])),""),ROWS($A$15:A58)+$B$3)))),IF($D$11="",IF($D$13="",INDEX(orderHistory[payed],SMALL(IF(ISNUMBER(MATCH(orderHistory[customer],$D$9,0)),MATCH(ROW(orderHistory[customer]),ROW(orderHistory[customer])),""),ROWS($A$15:A58)+$B$3)),INDEX(orderHistory[payed],SMALL(IF(ISNUMBER(MATCH(orderHistory[customer],$D$9,0)*MATCH(orderHistory[order_type],$D$13,0)),MATCH(ROW(orderHistory[customer]),ROW(orderHistory[customer])),""),ROWS($A$15:A58)+$B$3))),IF($D$13="",INDEX(orderHistory[payed],SMALL(IF(ISNUMBER(MATCH(orderHistory[customer],$D$9,0)*MATCH(orderHistory[status],$D$11,0)),MATCH(ROW(orderHistory[customer]),ROW(orderHistory[customer])),""),ROWS($A$15:A58)+$B$3)),INDEX(orderHistory[payed],SMALL(IF(ISNUMBER(MATCH(orderHistory[customer],$D$9,0)*MATCH(orderHistory[status],$D$11,0)*MATCH(orderHistory[order_type],$D$13,0)),MATCH(ROW(orderHistory[customer]),ROW(orderHistory[customer])),""),ROWS($A$15:A58)+$B$3))))),"")</f>
        <v/>
      </c>
      <c r="U53" s="386" t="str">
        <f t="array" ref="U53">IFERROR(IF($D$9="",IF($D$11="",IF($D$13="",INDEX(orderHistory[shipping_method],SMALL(MATCH(ROW(orderHistory[customer]),ROW(orderHistory[customer])),ROWS($A$15:A58)+$B$3)),INDEX(orderHistory[shipping_method],SMALL(IF(ISNUMBER(MATCH(orderHistory[order_type],$D$13,0)),MATCH(ROW(orderHistory[customer]),ROW(orderHistory[customer])),""),ROWS($A$15:A58)+$B$3))),IF($D$13="",INDEX(orderHistory[shipping_method],SMALL(IF(ISNUMBER(MATCH(orderHistory[status],$D$11,0)),MATCH(ROW(orderHistory[customer]),ROW(orderHistory[customer])),""),ROWS($A$15:A58)+$B$3)),INDEX(orderHistory[shipping_method],SMALL(IF(ISNUMBER(MATCH(orderHistory[status],$D$11,0)*MATCH(orderHistory[order_type],$D$13,0)),MATCH(ROW(orderHistory[customer]),ROW(orderHistory[customer])),""),ROWS($A$15:A58)+$B$3)))),IF($D$11="",IF($D$13="",INDEX(orderHistory[shipping_method],SMALL(IF(ISNUMBER(MATCH(orderHistory[customer],$D$9,0)),MATCH(ROW(orderHistory[customer]),ROW(orderHistory[customer])),""),ROWS($A$15:A58)+$B$3)),INDEX(orderHistory[shipping_method],SMALL(IF(ISNUMBER(MATCH(orderHistory[customer],$D$9,0)*MATCH(orderHistory[order_type],$D$13,0)),MATCH(ROW(orderHistory[customer]),ROW(orderHistory[customer])),""),ROWS($A$15:A58)+$B$3))),IF($D$13="",INDEX(orderHistory[shipping_method],SMALL(IF(ISNUMBER(MATCH(orderHistory[customer],$D$9,0)*MATCH(orderHistory[status],$D$11,0)),MATCH(ROW(orderHistory[customer]),ROW(orderHistory[customer])),""),ROWS($A$15:A58)+$B$3)),INDEX(orderHistory[shipping_method],SMALL(IF(ISNUMBER(MATCH(orderHistory[customer],$D$9,0)*MATCH(orderHistory[status],$D$11,0)*MATCH(orderHistory[order_type],$D$13,0)),MATCH(ROW(orderHistory[customer]),ROW(orderHistory[customer])),""),ROWS($A$15:A58)+$B$3))))),"")</f>
        <v/>
      </c>
      <c r="V53" s="387" t="str">
        <f t="array" ref="V53">IFERROR(IF($D$9="",IF($D$11="",IF($D$13="",INDEX(orderHistory[status],SMALL(MATCH(ROW(orderHistory[customer]),ROW(orderHistory[customer])),ROWS($A$15:A58)+$B$3)),INDEX(orderHistory[status],SMALL(IF(ISNUMBER(MATCH(orderHistory[order_type],$D$13,0)),MATCH(ROW(orderHistory[customer]),ROW(orderHistory[customer])),""),ROWS($A$15:A58)+$B$3))),IF($D$13="",INDEX(orderHistory[status],SMALL(IF(ISNUMBER(MATCH(orderHistory[status],$D$11,0)),MATCH(ROW(orderHistory[customer]),ROW(orderHistory[customer])),""),ROWS($A$15:A58)+$B$3)),INDEX(orderHistory[status],SMALL(IF(ISNUMBER(MATCH(orderHistory[status],$D$11,0)*MATCH(orderHistory[order_type],$D$13,0)),MATCH(ROW(orderHistory[customer]),ROW(orderHistory[customer])),""),ROWS($A$15:A58)+$B$3)))),IF($D$11="",IF($D$13="",INDEX(orderHistory[status],SMALL(IF(ISNUMBER(MATCH(orderHistory[customer],$D$9,0)),MATCH(ROW(orderHistory[customer]),ROW(orderHistory[customer])),""),ROWS($A$15:A58)+$B$3)),INDEX(orderHistory[status],SMALL(IF(ISNUMBER(MATCH(orderHistory[customer],$D$9,0)*MATCH(orderHistory[order_type],$D$13,0)),MATCH(ROW(orderHistory[customer]),ROW(orderHistory[customer])),""),ROWS($A$15:A58)+$B$3))),IF($D$13="",INDEX(orderHistory[status],SMALL(IF(ISNUMBER(MATCH(orderHistory[customer],$D$9,0)*MATCH(orderHistory[status],$D$11,0)),MATCH(ROW(orderHistory[customer]),ROW(orderHistory[customer])),""),ROWS($A$15:A58)+$B$3)),INDEX(orderHistory[status],SMALL(IF(ISNUMBER(MATCH(orderHistory[customer],$D$9,0)*MATCH(orderHistory[status],$D$11,0)*MATCH(orderHistory[order_type],$D$13,0)),MATCH(ROW(orderHistory[customer]),ROW(orderHistory[customer])),""),ROWS($A$15:A58)+$B$3))))),"")</f>
        <v/>
      </c>
      <c r="W53" s="17"/>
      <c r="X53" s="17"/>
      <c r="AQ53" s="191"/>
      <c r="AR53" s="191" t="s">
        <v>467</v>
      </c>
      <c r="BG53"/>
      <c r="BK53" s="146"/>
      <c r="BL53" s="147"/>
      <c r="BM53" s="148"/>
      <c r="BN53" s="147"/>
      <c r="BO53" s="148"/>
      <c r="BZ53" s="304"/>
      <c r="CA53" s="270" t="str">
        <f>IF(BZ53="","",VLOOKUP(BZ53,bhpc_data[],7,FALSE))</f>
        <v/>
      </c>
      <c r="CB53" s="303"/>
      <c r="CC53" s="642"/>
      <c r="CD53" s="297"/>
      <c r="CE53" s="645"/>
      <c r="CF53" s="298"/>
      <c r="CG53" s="301" t="str">
        <f>IFERROR(ROUNDUP(CB53/VLOOKUP(BZ53,bhpc_data[],9,FALSE),0)+ROUNDUP(CD53/VLOOKUP(BZ53,bhpc_data[],9,FALSE),0),"")</f>
        <v/>
      </c>
      <c r="CH53" s="302" t="str">
        <f>IFERROR(ROUNDUP(CD53/VLOOKUP(BZ53,bhpc_data[],9,FALSE),0),"")</f>
        <v/>
      </c>
      <c r="CI53" s="302" t="str">
        <f>IFERROR(ROUNDUP(CF53/VLOOKUP(BZ53,bhpc_data[],9,FALSE),0),"")</f>
        <v/>
      </c>
      <c r="CJ53" s="302" t="str">
        <f>IFERROR(((CB53+CD53+CF53)/VLOOKUP(BZ53,bhpc_data[],9,FALSE))*VLOOKUP(BZ53,bhpc_data[],17,FALSE),"")</f>
        <v/>
      </c>
      <c r="CK53" s="302" t="str">
        <f>IFERROR(((CB53+CD53+CF53)/VLOOKUP(BZ53,bhpc_data[],9,FALSE))*VLOOKUP(BZ53,bhpc_data[],18,FALSE),"")</f>
        <v/>
      </c>
      <c r="CL53" s="346" t="str">
        <f>IFERROR((CB53+CD53)/VLOOKUP(BZ53,bhpc_data[],9,FALSE)*VLOOKUP(BZ53,bhpc_data[],14,FALSE)*VLOOKUP(BZ53,bhpc_data[],15,FALSE)*VLOOKUP(BZ53,bhpc_data[],16,FALSE)/1000000000,"")</f>
        <v/>
      </c>
      <c r="CM53" s="409" t="str">
        <f>IFERROR(VLOOKUP(BZ53,bhpc_data[],2,FALSE),"")</f>
        <v/>
      </c>
      <c r="CN53" s="409" t="str">
        <f>IFERROR(VLOOKUP(BZ53,bhpc_data[],19,FALSE),"")</f>
        <v/>
      </c>
      <c r="CO53" s="653" t="str">
        <f>IFERROR(VLOOKUP(BZ53,bhpc_data[],6,FALSE),"")</f>
        <v/>
      </c>
      <c r="CP53" s="654" t="str">
        <f>IFERROR(VLOOKUP(BZ53,inventory[],4,FALSE),"")</f>
        <v/>
      </c>
      <c r="CQ53" s="651" t="str">
        <f>IFERROR(IF(BZ53="","",IF($BX$15="SALE",VLOOKUP(BZ53,inventory[],5,FALSE),IF($BX$15="SAMPLING",VLOOKUP(BZ53,inventory[],5,FALSE),""))),"")</f>
        <v/>
      </c>
      <c r="CR53" s="652" t="str">
        <f>IFERROR(IF(BZ53="","",(CB53+CD53+CF53)*CQ53),"")</f>
        <v/>
      </c>
      <c r="CS53" s="557" t="str">
        <f>IF(BZ53="","",CB53*CC53+CD53*CE53)</f>
        <v/>
      </c>
      <c r="CU53" s="610"/>
      <c r="CV53" s="611"/>
      <c r="CW53" s="611"/>
      <c r="CX53" s="611"/>
      <c r="CY53" s="611"/>
      <c r="CZ53" s="612"/>
      <c r="DA53" s="540" t="str">
        <f>IFERROR(VLOOKUP(BZ53,bhpc_data[],22,FALSE),"")</f>
        <v/>
      </c>
      <c r="EE53" s="454" t="s">
        <v>132</v>
      </c>
      <c r="EF53" s="447" t="str">
        <f>VLOOKUP(EE53,bhpc_data[],7,FALSE)</f>
        <v>BHPC PRESTIGE TOUR INTENSE 100ML EDP MEN</v>
      </c>
      <c r="EG53" s="555">
        <f>IFERROR(VLOOKUP(EE53,inventory[],4,FALSE),0)</f>
        <v>1665</v>
      </c>
      <c r="EH53" s="555">
        <f>IFERROR(VLOOKUP(warehouse[[#This Row],[SKU]],$EQ$10:$ES$38,3,FALSE),0)</f>
        <v>2972</v>
      </c>
      <c r="EI53" s="555">
        <f>IFERROR(VLOOKUP(warehouse[[#This Row],[SKU]],$EM$10:$EO$61,3,FALSE),0)</f>
        <v>2070</v>
      </c>
      <c r="EJ53" s="555">
        <f>warehouse[[#This Row],[T-1]]+warehouse[[#This Row],[SUPPLY]]-warehouse[[#This Row],[SALE + SAMPLING]]</f>
        <v>2567</v>
      </c>
      <c r="EK53" s="449"/>
      <c r="EM53" s="74" t="s">
        <v>204</v>
      </c>
      <c r="EN53" s="74" t="s">
        <v>205</v>
      </c>
      <c r="EO53" s="431">
        <v>24828</v>
      </c>
    </row>
    <row r="54" spans="10:145" ht="15" customHeight="1">
      <c r="J54" s="17"/>
      <c r="K54" s="17"/>
      <c r="L54" s="274" t="str">
        <f t="array" ref="L54">IFERROR(IF($D$9="",IF($D$11="",IF($D$13="",INDEX(orderHistory[customer],SMALL(MATCH(ROW(orderHistory[customer]),ROW(orderHistory[customer])),ROWS($A$15:A59)+$B$3)),INDEX(orderHistory[customer],SMALL(IF(ISNUMBER(MATCH(orderHistory[order_type],$D$13,0)),MATCH(ROW(orderHistory[customer]),ROW(orderHistory[customer])),""),ROWS($A$15:A59)+$B$3))),IF($D$13="",INDEX(orderHistory[customer],SMALL(IF(ISNUMBER(MATCH(orderHistory[status],$D$11,0)),MATCH(ROW(orderHistory[customer]),ROW(orderHistory[customer])),""),ROWS($A$15:A59)+$B$3)),INDEX(orderHistory[customer],SMALL(IF(ISNUMBER(MATCH(orderHistory[status],$D$11,0)*MATCH(orderHistory[order_type],$D$13,0)),MATCH(ROW(orderHistory[customer]),ROW(orderHistory[customer])),""),ROWS($A$15:A59)+$B$3)))),IF($D$11="",IF($D$13="",INDEX(orderHistory[customer],SMALL(IF(ISNUMBER(MATCH(orderHistory[customer],$D$9,0)),MATCH(ROW(orderHistory[customer]),ROW(orderHistory[customer])),""),ROWS($A$15:A59)+$B$3)),INDEX(orderHistory[customer],SMALL(IF(ISNUMBER(MATCH(orderHistory[customer],$D$9,0)*MATCH(orderHistory[order_type],$D$13,0)),MATCH(ROW(orderHistory[customer]),ROW(orderHistory[customer])),""),ROWS($A$15:A59)+$B$3))),IF($D$13="",INDEX(orderHistory[customer],SMALL(IF(ISNUMBER(MATCH(orderHistory[customer],$D$9,0)*MATCH(orderHistory[status],$D$11,0)),MATCH(ROW(orderHistory[customer]),ROW(orderHistory[customer])),""),ROWS($A$15:A59)+$B$3)),INDEX(orderHistory[customer],SMALL(IF(ISNUMBER(MATCH(orderHistory[customer],$D$9,0)*MATCH(orderHistory[status],$D$11,0)*MATCH(orderHistory[order_type],$D$13,0)),MATCH(ROW(orderHistory[customer]),ROW(orderHistory[customer])),""),ROWS($A$15:A59)+$B$3))))),"")</f>
        <v/>
      </c>
      <c r="M54" s="391" t="str">
        <f t="array" ref="M54">IFERROR(IF($D$9="",IF($D$11="",IF($D$13="",INDEX(orderHistory[order_no],SMALL(MATCH(ROW(orderHistory[customer]),ROW(orderHistory[customer])),ROWS($A$15:A59)+$B$3)),INDEX(orderHistory[order_no],SMALL(IF(ISNUMBER(MATCH(orderHistory[order_type],$D$13,0)),MATCH(ROW(orderHistory[customer]),ROW(orderHistory[customer])),""),ROWS($A$15:A59)+$B$3))),IF($D$13="",INDEX(orderHistory[order_no],SMALL(IF(ISNUMBER(MATCH(orderHistory[status],$D$11,0)),MATCH(ROW(orderHistory[customer]),ROW(orderHistory[customer])),""),ROWS($A$15:A59)+$B$3)),INDEX(orderHistory[order_no],SMALL(IF(ISNUMBER(MATCH(orderHistory[status],$D$11,0)*MATCH(orderHistory[order_type],$D$13,0)),MATCH(ROW(orderHistory[customer]),ROW(orderHistory[customer])),""),ROWS($A$15:A59)+$B$3)))),IF($D$11="",IF($D$13="",INDEX(orderHistory[order_no],SMALL(IF(ISNUMBER(MATCH(orderHistory[customer],$D$9,0)),MATCH(ROW(orderHistory[customer]),ROW(orderHistory[customer])),""),ROWS($A$15:A59)+$B$3)),INDEX(orderHistory[order_no],SMALL(IF(ISNUMBER(MATCH(orderHistory[customer],$D$9,0)*MATCH(orderHistory[order_type],$D$13,0)),MATCH(ROW(orderHistory[customer]),ROW(orderHistory[customer])),""),ROWS($A$15:A59)+$B$3))),IF($D$13="",INDEX(orderHistory[order_no],SMALL(IF(ISNUMBER(MATCH(orderHistory[customer],$D$9,0)*MATCH(orderHistory[status],$D$11,0)),MATCH(ROW(orderHistory[customer]),ROW(orderHistory[customer])),""),ROWS($A$15:A59)+$B$3)),INDEX(orderHistory[order_no],SMALL(IF(ISNUMBER(MATCH(orderHistory[customer],$D$9,0)*MATCH(orderHistory[status],$D$11,0)*MATCH(orderHistory[order_type],$D$13,0)),MATCH(ROW(orderHistory[customer]),ROW(orderHistory[customer])),""),ROWS($A$15:A59)+$B$3))))),"")</f>
        <v/>
      </c>
      <c r="N54" s="386" t="str">
        <f t="array" ref="N54">IFERROR(IF($D$9="",IF($D$11="",IF($D$13="",INDEX(orderHistory[order_type],SMALL(MATCH(ROW(orderHistory[customer]),ROW(orderHistory[customer])),ROWS($A$15:A59)+$B$3)),INDEX(orderHistory[order_type],SMALL(IF(ISNUMBER(MATCH(orderHistory[order_type],$D$13,0)),MATCH(ROW(orderHistory[customer]),ROW(orderHistory[customer])),""),ROWS($A$15:A59)+$B$3))),IF($D$13="",INDEX(orderHistory[order_type],SMALL(IF(ISNUMBER(MATCH(orderHistory[status],$D$11,0)),MATCH(ROW(orderHistory[customer]),ROW(orderHistory[customer])),""),ROWS($A$15:A59)+$B$3)),INDEX(orderHistory[order_type],SMALL(IF(ISNUMBER(MATCH(orderHistory[status],$D$11,0)*MATCH(orderHistory[order_type],$D$13,0)),MATCH(ROW(orderHistory[customer]),ROW(orderHistory[customer])),""),ROWS($A$15:A59)+$B$3)))),IF($D$11="",IF($D$13="",INDEX(orderHistory[order_type],SMALL(IF(ISNUMBER(MATCH(orderHistory[customer],$D$9,0)),MATCH(ROW(orderHistory[customer]),ROW(orderHistory[customer])),""),ROWS($A$15:A59)+$B$3)),INDEX(orderHistory[order_type],SMALL(IF(ISNUMBER(MATCH(orderHistory[customer],$D$9,0)*MATCH(orderHistory[order_type],$D$13,0)),MATCH(ROW(orderHistory[customer]),ROW(orderHistory[customer])),""),ROWS($A$15:A59)+$B$3))),IF($D$13="",INDEX(orderHistory[order_type],SMALL(IF(ISNUMBER(MATCH(orderHistory[customer],$D$9,0)*MATCH(orderHistory[status],$D$11,0)),MATCH(ROW(orderHistory[customer]),ROW(orderHistory[customer])),""),ROWS($A$15:A59)+$B$3)),INDEX(orderHistory[order_type],SMALL(IF(ISNUMBER(MATCH(orderHistory[customer],$D$9,0)*MATCH(orderHistory[status],$D$11,0)*MATCH(orderHistory[order_type],$D$13,0)),MATCH(ROW(orderHistory[customer]),ROW(orderHistory[customer])),""),ROWS($A$15:A59)+$B$3))))),"")</f>
        <v/>
      </c>
      <c r="O54" s="275" t="str">
        <f t="array" ref="O54">IFERROR(IF($D$9="",IF($D$11="",IF($D$13="",INDEX(orderHistory[order_date],SMALL(MATCH(ROW(orderHistory[customer]),ROW(orderHistory[customer])),ROWS($A$15:A59)+$B$3)),INDEX(orderHistory[order_date],SMALL(IF(ISNUMBER(MATCH(orderHistory[order_type],$D$13,0)),MATCH(ROW(orderHistory[customer]),ROW(orderHistory[customer])),""),ROWS($A$15:A59)+$B$3))),IF($D$13="",INDEX(orderHistory[order_date],SMALL(IF(ISNUMBER(MATCH(orderHistory[status],$D$11,0)),MATCH(ROW(orderHistory[customer]),ROW(orderHistory[customer])),""),ROWS($A$15:A59)+$B$3)),INDEX(orderHistory[order_date],SMALL(IF(ISNUMBER(MATCH(orderHistory[status],$D$11,0)*MATCH(orderHistory[order_type],$D$13,0)),MATCH(ROW(orderHistory[customer]),ROW(orderHistory[customer])),""),ROWS($A$15:A59)+$B$3)))),IF($D$11="",IF($D$13="",INDEX(orderHistory[order_date],SMALL(IF(ISNUMBER(MATCH(orderHistory[customer],$D$9,0)),MATCH(ROW(orderHistory[customer]),ROW(orderHistory[customer])),""),ROWS($A$15:A59)+$B$3)),INDEX(orderHistory[order_date],SMALL(IF(ISNUMBER(MATCH(orderHistory[customer],$D$9,0)*MATCH(orderHistory[order_type],$D$13,0)),MATCH(ROW(orderHistory[customer]),ROW(orderHistory[customer])),""),ROWS($A$15:A59)+$B$3))),IF($D$13="",INDEX(orderHistory[order_date],SMALL(IF(ISNUMBER(MATCH(orderHistory[customer],$D$9,0)*MATCH(orderHistory[status],$D$11,0)),MATCH(ROW(orderHistory[customer]),ROW(orderHistory[customer])),""),ROWS($A$15:A59)+$B$3)),INDEX(orderHistory[order_date],SMALL(IF(ISNUMBER(MATCH(orderHistory[customer],$D$9,0)*MATCH(orderHistory[status],$D$11,0)*MATCH(orderHistory[order_type],$D$13,0)),MATCH(ROW(orderHistory[customer]),ROW(orderHistory[customer])),""),ROWS($A$15:A59)+$B$3))))),"")</f>
        <v/>
      </c>
      <c r="P54" s="379" t="str">
        <f t="array" ref="P54">IF(IFERROR(IF($D$9="",IF($D$11="",IF($D$13="",INDEX(orderHistory[invoice_no],SMALL(MATCH(ROW(orderHistory[customer]),ROW(orderHistory[customer])),ROWS($A$15:A59)+$B$3)),INDEX(orderHistory[invoice_no],SMALL(IF(ISNUMBER(MATCH(orderHistory[order_type],$D$13,0)),MATCH(ROW(orderHistory[customer]),ROW(orderHistory[customer])),""),ROWS($A$15:A59)+$B$3))),IF($D$13="",INDEX(orderHistory[invoice_no],SMALL(IF(ISNUMBER(MATCH(orderHistory[status],$D$11,0)),MATCH(ROW(orderHistory[customer]),ROW(orderHistory[customer])),""),ROWS($A$15:A59)+$B$3)),INDEX(orderHistory[invoice_no],SMALL(IF(ISNUMBER(MATCH(orderHistory[status],$D$11,0)*MATCH(orderHistory[order_type],$D$13,0)),MATCH(ROW(orderHistory[customer]),ROW(orderHistory[customer])),""),ROWS($A$15:A59)+$B$3)))),IF($D$11="",IF($D$13="",INDEX(orderHistory[invoice_no],SMALL(IF(ISNUMBER(MATCH(orderHistory[customer],$D$9,0)),MATCH(ROW(orderHistory[customer]),ROW(orderHistory[customer])),""),ROWS($A$15:A59)+$B$3)),INDEX(orderHistory[invoice_no],SMALL(IF(ISNUMBER(MATCH(orderHistory[customer],$D$9,0)*MATCH(orderHistory[order_type],$D$13,0)),MATCH(ROW(orderHistory[customer]),ROW(orderHistory[customer])),""),ROWS($A$15:A59)+$B$3))),IF($D$13="",INDEX(orderHistory[invoice_no],SMALL(IF(ISNUMBER(MATCH(orderHistory[customer],$D$9,0)*MATCH(orderHistory[status],$D$11,0)),MATCH(ROW(orderHistory[customer]),ROW(orderHistory[customer])),""),ROWS($A$15:A59)+$B$3)),INDEX(orderHistory[invoice_no],SMALL(IF(ISNUMBER(MATCH(orderHistory[customer],$D$9,0)*MATCH(orderHistory[status],$D$11,0)*MATCH(orderHistory[order_type],$D$13,0)),MATCH(ROW(orderHistory[customer]),ROW(orderHistory[customer])),""),ROWS($A$15:A59)+$B$3))))),"")=0,"",IFERROR(IF($D$9="",IF($D$11="",IF($D$13="",INDEX(orderHistory[invoice_no],SMALL(MATCH(ROW(orderHistory[customer]),ROW(orderHistory[customer])),ROWS($A$15:A59)+$B$3)),INDEX(orderHistory[invoice_no],SMALL(IF(ISNUMBER(MATCH(orderHistory[order_type],$D$13,0)),MATCH(ROW(orderHistory[customer]),ROW(orderHistory[customer])),""),ROWS($A$15:A59)+$B$3))),IF($D$13="",INDEX(orderHistory[invoice_no],SMALL(IF(ISNUMBER(MATCH(orderHistory[status],$D$11,0)),MATCH(ROW(orderHistory[customer]),ROW(orderHistory[customer])),""),ROWS($A$15:A59)+$B$3)),INDEX(orderHistory[invoice_no],SMALL(IF(ISNUMBER(MATCH(orderHistory[status],$D$11,0)*MATCH(orderHistory[order_type],$D$13,0)),MATCH(ROW(orderHistory[customer]),ROW(orderHistory[customer])),""),ROWS($A$15:A59)+$B$3)))),IF($D$11="",IF($D$13="",INDEX(orderHistory[invoice_no],SMALL(IF(ISNUMBER(MATCH(orderHistory[customer],$D$9,0)),MATCH(ROW(orderHistory[customer]),ROW(orderHistory[customer])),""),ROWS($A$15:A59)+$B$3)),INDEX(orderHistory[invoice_no],SMALL(IF(ISNUMBER(MATCH(orderHistory[customer],$D$9,0)*MATCH(orderHistory[order_type],$D$13,0)),MATCH(ROW(orderHistory[customer]),ROW(orderHistory[customer])),""),ROWS($A$15:A59)+$B$3))),IF($D$13="",INDEX(orderHistory[invoice_no],SMALL(IF(ISNUMBER(MATCH(orderHistory[customer],$D$9,0)*MATCH(orderHistory[status],$D$11,0)),MATCH(ROW(orderHistory[customer]),ROW(orderHistory[customer])),""),ROWS($A$15:A59)+$B$3)),INDEX(orderHistory[invoice_no],SMALL(IF(ISNUMBER(MATCH(orderHistory[customer],$D$9,0)*MATCH(orderHistory[status],$D$11,0)*MATCH(orderHistory[order_type],$D$13,0)),MATCH(ROW(orderHistory[customer]),ROW(orderHistory[customer])),""),ROWS($A$15:A59)+$B$3))))),""))</f>
        <v/>
      </c>
      <c r="Q54" s="381" t="str">
        <f t="array" ref="Q54">IF(IFERROR(IF($D$9="",IF($D$11="",IF($D$13="",INDEX(orderHistory[invoice_date],SMALL(MATCH(ROW(orderHistory[customer]),ROW(orderHistory[customer])),ROWS($A$15:A59)+$B$3)),INDEX(orderHistory[invoice_date],SMALL(IF(ISNUMBER(MATCH(orderHistory[order_type],$D$13,0)),MATCH(ROW(orderHistory[customer]),ROW(orderHistory[customer])),""),ROWS($A$15:A59)+$B$3))),IF($D$13="",INDEX(orderHistory[invoice_date],SMALL(IF(ISNUMBER(MATCH(orderHistory[status],$D$11,0)),MATCH(ROW(orderHistory[customer]),ROW(orderHistory[customer])),""),ROWS($A$15:A59)+$B$3)),INDEX(orderHistory[invoice_date],SMALL(IF(ISNUMBER(MATCH(orderHistory[status],$D$11,0)*MATCH(orderHistory[order_type],$D$13,0)),MATCH(ROW(orderHistory[customer]),ROW(orderHistory[customer])),""),ROWS($A$15:A59)+$B$3)))),IF($D$11="",IF($D$13="",INDEX(orderHistory[invoice_date],SMALL(IF(ISNUMBER(MATCH(orderHistory[customer],$D$9,0)),MATCH(ROW(orderHistory[customer]),ROW(orderHistory[customer])),""),ROWS($A$15:A59)+$B$3)),INDEX(orderHistory[invoice_date],SMALL(IF(ISNUMBER(MATCH(orderHistory[customer],$D$9,0)*MATCH(orderHistory[order_type],$D$13,0)),MATCH(ROW(orderHistory[customer]),ROW(orderHistory[customer])),""),ROWS($A$15:A59)+$B$3))),IF($D$13="",INDEX(orderHistory[invoice_date],SMALL(IF(ISNUMBER(MATCH(orderHistory[customer],$D$9,0)*MATCH(orderHistory[status],$D$11,0)),MATCH(ROW(orderHistory[customer]),ROW(orderHistory[customer])),""),ROWS($A$15:A59)+$B$3)),INDEX(orderHistory[invoice_date],SMALL(IF(ISNUMBER(MATCH(orderHistory[customer],$D$9,0)*MATCH(orderHistory[status],$D$11,0)*MATCH(orderHistory[order_type],$D$13,0)),MATCH(ROW(orderHistory[customer]),ROW(orderHistory[customer])),""),ROWS($A$15:A59)+$B$3))))),"")=0,"",IFERROR(IF($D$9="",IF($D$11="",IF($D$13="",INDEX(orderHistory[invoice_date],SMALL(MATCH(ROW(orderHistory[customer]),ROW(orderHistory[customer])),ROWS($A$15:A59)+$B$3)),INDEX(orderHistory[invoice_date],SMALL(IF(ISNUMBER(MATCH(orderHistory[order_type],$D$13,0)),MATCH(ROW(orderHistory[customer]),ROW(orderHistory[customer])),""),ROWS($A$15:A59)+$B$3))),IF($D$13="",INDEX(orderHistory[invoice_date],SMALL(IF(ISNUMBER(MATCH(orderHistory[status],$D$11,0)),MATCH(ROW(orderHistory[customer]),ROW(orderHistory[customer])),""),ROWS($A$15:A59)+$B$3)),INDEX(orderHistory[invoice_date],SMALL(IF(ISNUMBER(MATCH(orderHistory[status],$D$11,0)*MATCH(orderHistory[order_type],$D$13,0)),MATCH(ROW(orderHistory[customer]),ROW(orderHistory[customer])),""),ROWS($A$15:A59)+$B$3)))),IF($D$11="",IF($D$13="",INDEX(orderHistory[invoice_date],SMALL(IF(ISNUMBER(MATCH(orderHistory[customer],$D$9,0)),MATCH(ROW(orderHistory[customer]),ROW(orderHistory[customer])),""),ROWS($A$15:A59)+$B$3)),INDEX(orderHistory[invoice_date],SMALL(IF(ISNUMBER(MATCH(orderHistory[customer],$D$9,0)*MATCH(orderHistory[order_type],$D$13,0)),MATCH(ROW(orderHistory[customer]),ROW(orderHistory[customer])),""),ROWS($A$15:A59)+$B$3))),IF($D$13="",INDEX(orderHistory[invoice_date],SMALL(IF(ISNUMBER(MATCH(orderHistory[customer],$D$9,0)*MATCH(orderHistory[status],$D$11,0)),MATCH(ROW(orderHistory[customer]),ROW(orderHistory[customer])),""),ROWS($A$15:A59)+$B$3)),INDEX(orderHistory[invoice_date],SMALL(IF(ISNUMBER(MATCH(orderHistory[customer],$D$9,0)*MATCH(orderHistory[status],$D$11,0)*MATCH(orderHistory[order_type],$D$13,0)),MATCH(ROW(orderHistory[customer]),ROW(orderHistory[customer])),""),ROWS($A$15:A59)+$B$3))))),""))</f>
        <v/>
      </c>
      <c r="R54" s="377" t="str">
        <f t="array" ref="R54">IFERROR(IF($D$9="",IF($D$11="",IF($D$13="",INDEX(orderHistory[inv_amount],SMALL(MATCH(ROW(orderHistory[customer]),ROW(orderHistory[customer])),ROWS($A$15:A59)+$B$3)),INDEX(orderHistory[inv_amount],SMALL(IF(ISNUMBER(MATCH(orderHistory[order_type],$D$13,0)),MATCH(ROW(orderHistory[customer]),ROW(orderHistory[customer])),""),ROWS($A$15:A59)+$B$3))),IF($D$13="",INDEX(orderHistory[inv_amount],SMALL(IF(ISNUMBER(MATCH(orderHistory[status],$D$11,0)),MATCH(ROW(orderHistory[customer]),ROW(orderHistory[customer])),""),ROWS($A$15:A59)+$B$3)),INDEX(orderHistory[inv_amount],SMALL(IF(ISNUMBER(MATCH(orderHistory[status],$D$11,0)*MATCH(orderHistory[order_type],$D$13,0)),MATCH(ROW(orderHistory[customer]),ROW(orderHistory[customer])),""),ROWS($A$15:A59)+$B$3)))),IF($D$11="",IF($D$13="",INDEX(orderHistory[inv_amount],SMALL(IF(ISNUMBER(MATCH(orderHistory[customer],$D$9,0)),MATCH(ROW(orderHistory[customer]),ROW(orderHistory[customer])),""),ROWS($A$15:A59)+$B$3)),INDEX(orderHistory[inv_amount],SMALL(IF(ISNUMBER(MATCH(orderHistory[customer],$D$9,0)*MATCH(orderHistory[order_type],$D$13,0)),MATCH(ROW(orderHistory[customer]),ROW(orderHistory[customer])),""),ROWS($A$15:A59)+$B$3))),IF($D$13="",INDEX(orderHistory[inv_amount],SMALL(IF(ISNUMBER(MATCH(orderHistory[customer],$D$9,0)*MATCH(orderHistory[status],$D$11,0)),MATCH(ROW(orderHistory[customer]),ROW(orderHistory[customer])),""),ROWS($A$15:A59)+$B$3)),INDEX(orderHistory[inv_amount],SMALL(IF(ISNUMBER(MATCH(orderHistory[customer],$D$9,0)*MATCH(orderHistory[status],$D$11,0)*MATCH(orderHistory[order_type],$D$13,0)),MATCH(ROW(orderHistory[customer]),ROW(orderHistory[customer])),""),ROWS($A$15:A59)+$B$3))))),"")</f>
        <v/>
      </c>
      <c r="S54" s="383" t="str">
        <f t="shared" si="1"/>
        <v/>
      </c>
      <c r="T54" s="385" t="str">
        <f t="array" ref="T54">IFERROR(IF($D$9="",IF($D$11="",IF($D$13="",INDEX(orderHistory[payed],SMALL(MATCH(ROW(orderHistory[customer]),ROW(orderHistory[customer])),ROWS($A$15:A59)+$B$3)),INDEX(orderHistory[payed],SMALL(IF(ISNUMBER(MATCH(orderHistory[order_type],$D$13,0)),MATCH(ROW(orderHistory[customer]),ROW(orderHistory[customer])),""),ROWS($A$15:A59)+$B$3))),IF($D$13="",INDEX(orderHistory[payed],SMALL(IF(ISNUMBER(MATCH(orderHistory[status],$D$11,0)),MATCH(ROW(orderHistory[customer]),ROW(orderHistory[customer])),""),ROWS($A$15:A59)+$B$3)),INDEX(orderHistory[payed],SMALL(IF(ISNUMBER(MATCH(orderHistory[status],$D$11,0)*MATCH(orderHistory[order_type],$D$13,0)),MATCH(ROW(orderHistory[customer]),ROW(orderHistory[customer])),""),ROWS($A$15:A59)+$B$3)))),IF($D$11="",IF($D$13="",INDEX(orderHistory[payed],SMALL(IF(ISNUMBER(MATCH(orderHistory[customer],$D$9,0)),MATCH(ROW(orderHistory[customer]),ROW(orderHistory[customer])),""),ROWS($A$15:A59)+$B$3)),INDEX(orderHistory[payed],SMALL(IF(ISNUMBER(MATCH(orderHistory[customer],$D$9,0)*MATCH(orderHistory[order_type],$D$13,0)),MATCH(ROW(orderHistory[customer]),ROW(orderHistory[customer])),""),ROWS($A$15:A59)+$B$3))),IF($D$13="",INDEX(orderHistory[payed],SMALL(IF(ISNUMBER(MATCH(orderHistory[customer],$D$9,0)*MATCH(orderHistory[status],$D$11,0)),MATCH(ROW(orderHistory[customer]),ROW(orderHistory[customer])),""),ROWS($A$15:A59)+$B$3)),INDEX(orderHistory[payed],SMALL(IF(ISNUMBER(MATCH(orderHistory[customer],$D$9,0)*MATCH(orderHistory[status],$D$11,0)*MATCH(orderHistory[order_type],$D$13,0)),MATCH(ROW(orderHistory[customer]),ROW(orderHistory[customer])),""),ROWS($A$15:A59)+$B$3))))),"")</f>
        <v/>
      </c>
      <c r="U54" s="386" t="str">
        <f t="array" ref="U54">IFERROR(IF($D$9="",IF($D$11="",IF($D$13="",INDEX(orderHistory[shipping_method],SMALL(MATCH(ROW(orderHistory[customer]),ROW(orderHistory[customer])),ROWS($A$15:A59)+$B$3)),INDEX(orderHistory[shipping_method],SMALL(IF(ISNUMBER(MATCH(orderHistory[order_type],$D$13,0)),MATCH(ROW(orderHistory[customer]),ROW(orderHistory[customer])),""),ROWS($A$15:A59)+$B$3))),IF($D$13="",INDEX(orderHistory[shipping_method],SMALL(IF(ISNUMBER(MATCH(orderHistory[status],$D$11,0)),MATCH(ROW(orderHistory[customer]),ROW(orderHistory[customer])),""),ROWS($A$15:A59)+$B$3)),INDEX(orderHistory[shipping_method],SMALL(IF(ISNUMBER(MATCH(orderHistory[status],$D$11,0)*MATCH(orderHistory[order_type],$D$13,0)),MATCH(ROW(orderHistory[customer]),ROW(orderHistory[customer])),""),ROWS($A$15:A59)+$B$3)))),IF($D$11="",IF($D$13="",INDEX(orderHistory[shipping_method],SMALL(IF(ISNUMBER(MATCH(orderHistory[customer],$D$9,0)),MATCH(ROW(orderHistory[customer]),ROW(orderHistory[customer])),""),ROWS($A$15:A59)+$B$3)),INDEX(orderHistory[shipping_method],SMALL(IF(ISNUMBER(MATCH(orderHistory[customer],$D$9,0)*MATCH(orderHistory[order_type],$D$13,0)),MATCH(ROW(orderHistory[customer]),ROW(orderHistory[customer])),""),ROWS($A$15:A59)+$B$3))),IF($D$13="",INDEX(orderHistory[shipping_method],SMALL(IF(ISNUMBER(MATCH(orderHistory[customer],$D$9,0)*MATCH(orderHistory[status],$D$11,0)),MATCH(ROW(orderHistory[customer]),ROW(orderHistory[customer])),""),ROWS($A$15:A59)+$B$3)),INDEX(orderHistory[shipping_method],SMALL(IF(ISNUMBER(MATCH(orderHistory[customer],$D$9,0)*MATCH(orderHistory[status],$D$11,0)*MATCH(orderHistory[order_type],$D$13,0)),MATCH(ROW(orderHistory[customer]),ROW(orderHistory[customer])),""),ROWS($A$15:A59)+$B$3))))),"")</f>
        <v/>
      </c>
      <c r="V54" s="387" t="str">
        <f t="array" ref="V54">IFERROR(IF($D$9="",IF($D$11="",IF($D$13="",INDEX(orderHistory[status],SMALL(MATCH(ROW(orderHistory[customer]),ROW(orderHistory[customer])),ROWS($A$15:A59)+$B$3)),INDEX(orderHistory[status],SMALL(IF(ISNUMBER(MATCH(orderHistory[order_type],$D$13,0)),MATCH(ROW(orderHistory[customer]),ROW(orderHistory[customer])),""),ROWS($A$15:A59)+$B$3))),IF($D$13="",INDEX(orderHistory[status],SMALL(IF(ISNUMBER(MATCH(orderHistory[status],$D$11,0)),MATCH(ROW(orderHistory[customer]),ROW(orderHistory[customer])),""),ROWS($A$15:A59)+$B$3)),INDEX(orderHistory[status],SMALL(IF(ISNUMBER(MATCH(orderHistory[status],$D$11,0)*MATCH(orderHistory[order_type],$D$13,0)),MATCH(ROW(orderHistory[customer]),ROW(orderHistory[customer])),""),ROWS($A$15:A59)+$B$3)))),IF($D$11="",IF($D$13="",INDEX(orderHistory[status],SMALL(IF(ISNUMBER(MATCH(orderHistory[customer],$D$9,0)),MATCH(ROW(orderHistory[customer]),ROW(orderHistory[customer])),""),ROWS($A$15:A59)+$B$3)),INDEX(orderHistory[status],SMALL(IF(ISNUMBER(MATCH(orderHistory[customer],$D$9,0)*MATCH(orderHistory[order_type],$D$13,0)),MATCH(ROW(orderHistory[customer]),ROW(orderHistory[customer])),""),ROWS($A$15:A59)+$B$3))),IF($D$13="",INDEX(orderHistory[status],SMALL(IF(ISNUMBER(MATCH(orderHistory[customer],$D$9,0)*MATCH(orderHistory[status],$D$11,0)),MATCH(ROW(orderHistory[customer]),ROW(orderHistory[customer])),""),ROWS($A$15:A59)+$B$3)),INDEX(orderHistory[status],SMALL(IF(ISNUMBER(MATCH(orderHistory[customer],$D$9,0)*MATCH(orderHistory[status],$D$11,0)*MATCH(orderHistory[order_type],$D$13,0)),MATCH(ROW(orderHistory[customer]),ROW(orderHistory[customer])),""),ROWS($A$15:A59)+$B$3))))),"")</f>
        <v/>
      </c>
      <c r="W54" s="17"/>
      <c r="X54" s="17"/>
      <c r="AQ54" s="191"/>
      <c r="AR54" s="191" t="s">
        <v>741</v>
      </c>
      <c r="BG54"/>
      <c r="BK54" s="146"/>
      <c r="BL54" s="147"/>
      <c r="BM54" s="148"/>
      <c r="BN54" s="147"/>
      <c r="BO54" s="148"/>
      <c r="BZ54" s="305"/>
      <c r="CA54" s="270" t="str">
        <f>IF(BZ54="","",VLOOKUP(BZ54,bhpc_data[],7,FALSE))</f>
        <v/>
      </c>
      <c r="CB54" s="296"/>
      <c r="CC54" s="642"/>
      <c r="CD54" s="297"/>
      <c r="CE54" s="645"/>
      <c r="CF54" s="298"/>
      <c r="CG54" s="301" t="str">
        <f>IFERROR(ROUNDUP(CB54/VLOOKUP(BZ54,bhpc_data[],9,FALSE),0)+ROUNDUP(CD54/VLOOKUP(BZ54,bhpc_data[],9,FALSE),0),"")</f>
        <v/>
      </c>
      <c r="CH54" s="302" t="str">
        <f>IFERROR(ROUNDUP(CD54/VLOOKUP(BZ54,bhpc_data[],9,FALSE),0),"")</f>
        <v/>
      </c>
      <c r="CI54" s="302" t="str">
        <f>IFERROR(ROUNDUP(CF54/VLOOKUP(BZ54,bhpc_data[],9,FALSE),0),"")</f>
        <v/>
      </c>
      <c r="CJ54" s="302" t="str">
        <f>IFERROR(((CB54+CD54+CF54)/VLOOKUP(BZ54,bhpc_data[],9,FALSE))*VLOOKUP(BZ54,bhpc_data[],17,FALSE),"")</f>
        <v/>
      </c>
      <c r="CK54" s="302" t="str">
        <f>IFERROR(((CB54+CD54+CF54)/VLOOKUP(BZ54,bhpc_data[],9,FALSE))*VLOOKUP(BZ54,bhpc_data[],18,FALSE),"")</f>
        <v/>
      </c>
      <c r="CL54" s="346" t="str">
        <f>IFERROR((CB54+CD54)/VLOOKUP(BZ54,bhpc_data[],9,FALSE)*VLOOKUP(BZ54,bhpc_data[],14,FALSE)*VLOOKUP(BZ54,bhpc_data[],15,FALSE)*VLOOKUP(BZ54,bhpc_data[],16,FALSE)/1000000000,"")</f>
        <v/>
      </c>
      <c r="CM54" s="409" t="str">
        <f>IFERROR(VLOOKUP(BZ54,bhpc_data[],2,FALSE),"")</f>
        <v/>
      </c>
      <c r="CN54" s="409" t="str">
        <f>IFERROR(VLOOKUP(BZ54,bhpc_data[],19,FALSE),"")</f>
        <v/>
      </c>
      <c r="CO54" s="653" t="str">
        <f>IFERROR(VLOOKUP(BZ54,bhpc_data[],6,FALSE),"")</f>
        <v/>
      </c>
      <c r="CP54" s="654" t="str">
        <f>IFERROR(VLOOKUP(BZ54,inventory[],4,FALSE),"")</f>
        <v/>
      </c>
      <c r="CQ54" s="651" t="str">
        <f>IFERROR(IF(BZ54="","",IF($BX$15="SALE",VLOOKUP(BZ54,inventory[],5,FALSE),IF($BX$15="SAMPLING",VLOOKUP(BZ54,inventory[],5,FALSE),""))),"")</f>
        <v/>
      </c>
      <c r="CR54" s="652" t="str">
        <f>IFERROR(IF(BZ54="","",(CB54+CD54+CF54)*CQ54),"")</f>
        <v/>
      </c>
      <c r="CS54" s="557" t="str">
        <f>IF(BZ54="","",CB54*CC54+CD54*CE54)</f>
        <v/>
      </c>
      <c r="CU54" s="603"/>
      <c r="CV54" s="605" t="s">
        <v>1174</v>
      </c>
      <c r="CW54" s="605" t="s">
        <v>1175</v>
      </c>
      <c r="CX54" s="605"/>
      <c r="CY54" s="605"/>
      <c r="CZ54" s="606"/>
      <c r="DA54" s="540" t="str">
        <f>IFERROR(VLOOKUP(BZ54,bhpc_data[],22,FALSE),"")</f>
        <v/>
      </c>
      <c r="EE54" s="454" t="s">
        <v>134</v>
      </c>
      <c r="EF54" s="447" t="str">
        <f>VLOOKUP(EE54,bhpc_data[],7,FALSE)</f>
        <v>BHPC PRESTIGE TITAN 100ML EDP MEN</v>
      </c>
      <c r="EG54" s="555">
        <f>IFERROR(VLOOKUP(EE54,inventory[],4,FALSE),0)</f>
        <v>5724</v>
      </c>
      <c r="EH54" s="555">
        <f>IFERROR(VLOOKUP(warehouse[[#This Row],[SKU]],$EQ$10:$ES$38,3,FALSE),0)</f>
        <v>0</v>
      </c>
      <c r="EI54" s="555">
        <f>IFERROR(VLOOKUP(warehouse[[#This Row],[SKU]],$EM$10:$EO$61,3,FALSE),0)</f>
        <v>1966</v>
      </c>
      <c r="EJ54" s="555">
        <f>warehouse[[#This Row],[T-1]]+warehouse[[#This Row],[SUPPLY]]-warehouse[[#This Row],[SALE + SAMPLING]]</f>
        <v>3758</v>
      </c>
      <c r="EK54" s="449"/>
      <c r="EM54" s="74" t="s">
        <v>206</v>
      </c>
      <c r="EN54" s="74" t="s">
        <v>207</v>
      </c>
      <c r="EO54" s="431">
        <v>21120</v>
      </c>
    </row>
    <row r="55" spans="10:145" ht="15" customHeight="1">
      <c r="J55" s="17"/>
      <c r="K55" s="17"/>
      <c r="L55" s="274" t="str">
        <f t="array" ref="L55">IFERROR(IF($D$9="",IF($D$11="",IF($D$13="",INDEX(orderHistory[customer],SMALL(MATCH(ROW(orderHistory[customer]),ROW(orderHistory[customer])),ROWS($A$15:A60)+$B$3)),INDEX(orderHistory[customer],SMALL(IF(ISNUMBER(MATCH(orderHistory[order_type],$D$13,0)),MATCH(ROW(orderHistory[customer]),ROW(orderHistory[customer])),""),ROWS($A$15:A60)+$B$3))),IF($D$13="",INDEX(orderHistory[customer],SMALL(IF(ISNUMBER(MATCH(orderHistory[status],$D$11,0)),MATCH(ROW(orderHistory[customer]),ROW(orderHistory[customer])),""),ROWS($A$15:A60)+$B$3)),INDEX(orderHistory[customer],SMALL(IF(ISNUMBER(MATCH(orderHistory[status],$D$11,0)*MATCH(orderHistory[order_type],$D$13,0)),MATCH(ROW(orderHistory[customer]),ROW(orderHistory[customer])),""),ROWS($A$15:A60)+$B$3)))),IF($D$11="",IF($D$13="",INDEX(orderHistory[customer],SMALL(IF(ISNUMBER(MATCH(orderHistory[customer],$D$9,0)),MATCH(ROW(orderHistory[customer]),ROW(orderHistory[customer])),""),ROWS($A$15:A60)+$B$3)),INDEX(orderHistory[customer],SMALL(IF(ISNUMBER(MATCH(orderHistory[customer],$D$9,0)*MATCH(orderHistory[order_type],$D$13,0)),MATCH(ROW(orderHistory[customer]),ROW(orderHistory[customer])),""),ROWS($A$15:A60)+$B$3))),IF($D$13="",INDEX(orderHistory[customer],SMALL(IF(ISNUMBER(MATCH(orderHistory[customer],$D$9,0)*MATCH(orderHistory[status],$D$11,0)),MATCH(ROW(orderHistory[customer]),ROW(orderHistory[customer])),""),ROWS($A$15:A60)+$B$3)),INDEX(orderHistory[customer],SMALL(IF(ISNUMBER(MATCH(orderHistory[customer],$D$9,0)*MATCH(orderHistory[status],$D$11,0)*MATCH(orderHistory[order_type],$D$13,0)),MATCH(ROW(orderHistory[customer]),ROW(orderHistory[customer])),""),ROWS($A$15:A60)+$B$3))))),"")</f>
        <v/>
      </c>
      <c r="M55" s="391" t="str">
        <f t="array" ref="M55">IFERROR(IF($D$9="",IF($D$11="",IF($D$13="",INDEX(orderHistory[order_no],SMALL(MATCH(ROW(orderHistory[customer]),ROW(orderHistory[customer])),ROWS($A$15:A60)+$B$3)),INDEX(orderHistory[order_no],SMALL(IF(ISNUMBER(MATCH(orderHistory[order_type],$D$13,0)),MATCH(ROW(orderHistory[customer]),ROW(orderHistory[customer])),""),ROWS($A$15:A60)+$B$3))),IF($D$13="",INDEX(orderHistory[order_no],SMALL(IF(ISNUMBER(MATCH(orderHistory[status],$D$11,0)),MATCH(ROW(orderHistory[customer]),ROW(orderHistory[customer])),""),ROWS($A$15:A60)+$B$3)),INDEX(orderHistory[order_no],SMALL(IF(ISNUMBER(MATCH(orderHistory[status],$D$11,0)*MATCH(orderHistory[order_type],$D$13,0)),MATCH(ROW(orderHistory[customer]),ROW(orderHistory[customer])),""),ROWS($A$15:A60)+$B$3)))),IF($D$11="",IF($D$13="",INDEX(orderHistory[order_no],SMALL(IF(ISNUMBER(MATCH(orderHistory[customer],$D$9,0)),MATCH(ROW(orderHistory[customer]),ROW(orderHistory[customer])),""),ROWS($A$15:A60)+$B$3)),INDEX(orderHistory[order_no],SMALL(IF(ISNUMBER(MATCH(orderHistory[customer],$D$9,0)*MATCH(orderHistory[order_type],$D$13,0)),MATCH(ROW(orderHistory[customer]),ROW(orderHistory[customer])),""),ROWS($A$15:A60)+$B$3))),IF($D$13="",INDEX(orderHistory[order_no],SMALL(IF(ISNUMBER(MATCH(orderHistory[customer],$D$9,0)*MATCH(orderHistory[status],$D$11,0)),MATCH(ROW(orderHistory[customer]),ROW(orderHistory[customer])),""),ROWS($A$15:A60)+$B$3)),INDEX(orderHistory[order_no],SMALL(IF(ISNUMBER(MATCH(orderHistory[customer],$D$9,0)*MATCH(orderHistory[status],$D$11,0)*MATCH(orderHistory[order_type],$D$13,0)),MATCH(ROW(orderHistory[customer]),ROW(orderHistory[customer])),""),ROWS($A$15:A60)+$B$3))))),"")</f>
        <v/>
      </c>
      <c r="N55" s="386" t="str">
        <f t="array" ref="N55">IFERROR(IF($D$9="",IF($D$11="",IF($D$13="",INDEX(orderHistory[order_type],SMALL(MATCH(ROW(orderHistory[customer]),ROW(orderHistory[customer])),ROWS($A$15:A60)+$B$3)),INDEX(orderHistory[order_type],SMALL(IF(ISNUMBER(MATCH(orderHistory[order_type],$D$13,0)),MATCH(ROW(orderHistory[customer]),ROW(orderHistory[customer])),""),ROWS($A$15:A60)+$B$3))),IF($D$13="",INDEX(orderHistory[order_type],SMALL(IF(ISNUMBER(MATCH(orderHistory[status],$D$11,0)),MATCH(ROW(orderHistory[customer]),ROW(orderHistory[customer])),""),ROWS($A$15:A60)+$B$3)),INDEX(orderHistory[order_type],SMALL(IF(ISNUMBER(MATCH(orderHistory[status],$D$11,0)*MATCH(orderHistory[order_type],$D$13,0)),MATCH(ROW(orderHistory[customer]),ROW(orderHistory[customer])),""),ROWS($A$15:A60)+$B$3)))),IF($D$11="",IF($D$13="",INDEX(orderHistory[order_type],SMALL(IF(ISNUMBER(MATCH(orderHistory[customer],$D$9,0)),MATCH(ROW(orderHistory[customer]),ROW(orderHistory[customer])),""),ROWS($A$15:A60)+$B$3)),INDEX(orderHistory[order_type],SMALL(IF(ISNUMBER(MATCH(orderHistory[customer],$D$9,0)*MATCH(orderHistory[order_type],$D$13,0)),MATCH(ROW(orderHistory[customer]),ROW(orderHistory[customer])),""),ROWS($A$15:A60)+$B$3))),IF($D$13="",INDEX(orderHistory[order_type],SMALL(IF(ISNUMBER(MATCH(orderHistory[customer],$D$9,0)*MATCH(orderHistory[status],$D$11,0)),MATCH(ROW(orderHistory[customer]),ROW(orderHistory[customer])),""),ROWS($A$15:A60)+$B$3)),INDEX(orderHistory[order_type],SMALL(IF(ISNUMBER(MATCH(orderHistory[customer],$D$9,0)*MATCH(orderHistory[status],$D$11,0)*MATCH(orderHistory[order_type],$D$13,0)),MATCH(ROW(orderHistory[customer]),ROW(orderHistory[customer])),""),ROWS($A$15:A60)+$B$3))))),"")</f>
        <v/>
      </c>
      <c r="O55" s="275" t="str">
        <f t="array" ref="O55">IFERROR(IF($D$9="",IF($D$11="",IF($D$13="",INDEX(orderHistory[order_date],SMALL(MATCH(ROW(orderHistory[customer]),ROW(orderHistory[customer])),ROWS($A$15:A60)+$B$3)),INDEX(orderHistory[order_date],SMALL(IF(ISNUMBER(MATCH(orderHistory[order_type],$D$13,0)),MATCH(ROW(orderHistory[customer]),ROW(orderHistory[customer])),""),ROWS($A$15:A60)+$B$3))),IF($D$13="",INDEX(orderHistory[order_date],SMALL(IF(ISNUMBER(MATCH(orderHistory[status],$D$11,0)),MATCH(ROW(orderHistory[customer]),ROW(orderHistory[customer])),""),ROWS($A$15:A60)+$B$3)),INDEX(orderHistory[order_date],SMALL(IF(ISNUMBER(MATCH(orderHistory[status],$D$11,0)*MATCH(orderHistory[order_type],$D$13,0)),MATCH(ROW(orderHistory[customer]),ROW(orderHistory[customer])),""),ROWS($A$15:A60)+$B$3)))),IF($D$11="",IF($D$13="",INDEX(orderHistory[order_date],SMALL(IF(ISNUMBER(MATCH(orderHistory[customer],$D$9,0)),MATCH(ROW(orderHistory[customer]),ROW(orderHistory[customer])),""),ROWS($A$15:A60)+$B$3)),INDEX(orderHistory[order_date],SMALL(IF(ISNUMBER(MATCH(orderHistory[customer],$D$9,0)*MATCH(orderHistory[order_type],$D$13,0)),MATCH(ROW(orderHistory[customer]),ROW(orderHistory[customer])),""),ROWS($A$15:A60)+$B$3))),IF($D$13="",INDEX(orderHistory[order_date],SMALL(IF(ISNUMBER(MATCH(orderHistory[customer],$D$9,0)*MATCH(orderHistory[status],$D$11,0)),MATCH(ROW(orderHistory[customer]),ROW(orderHistory[customer])),""),ROWS($A$15:A60)+$B$3)),INDEX(orderHistory[order_date],SMALL(IF(ISNUMBER(MATCH(orderHistory[customer],$D$9,0)*MATCH(orderHistory[status],$D$11,0)*MATCH(orderHistory[order_type],$D$13,0)),MATCH(ROW(orderHistory[customer]),ROW(orderHistory[customer])),""),ROWS($A$15:A60)+$B$3))))),"")</f>
        <v/>
      </c>
      <c r="P55" s="379" t="str">
        <f t="array" ref="P55">IF(IFERROR(IF($D$9="",IF($D$11="",IF($D$13="",INDEX(orderHistory[invoice_no],SMALL(MATCH(ROW(orderHistory[customer]),ROW(orderHistory[customer])),ROWS($A$15:A60)+$B$3)),INDEX(orderHistory[invoice_no],SMALL(IF(ISNUMBER(MATCH(orderHistory[order_type],$D$13,0)),MATCH(ROW(orderHistory[customer]),ROW(orderHistory[customer])),""),ROWS($A$15:A60)+$B$3))),IF($D$13="",INDEX(orderHistory[invoice_no],SMALL(IF(ISNUMBER(MATCH(orderHistory[status],$D$11,0)),MATCH(ROW(orderHistory[customer]),ROW(orderHistory[customer])),""),ROWS($A$15:A60)+$B$3)),INDEX(orderHistory[invoice_no],SMALL(IF(ISNUMBER(MATCH(orderHistory[status],$D$11,0)*MATCH(orderHistory[order_type],$D$13,0)),MATCH(ROW(orderHistory[customer]),ROW(orderHistory[customer])),""),ROWS($A$15:A60)+$B$3)))),IF($D$11="",IF($D$13="",INDEX(orderHistory[invoice_no],SMALL(IF(ISNUMBER(MATCH(orderHistory[customer],$D$9,0)),MATCH(ROW(orderHistory[customer]),ROW(orderHistory[customer])),""),ROWS($A$15:A60)+$B$3)),INDEX(orderHistory[invoice_no],SMALL(IF(ISNUMBER(MATCH(orderHistory[customer],$D$9,0)*MATCH(orderHistory[order_type],$D$13,0)),MATCH(ROW(orderHistory[customer]),ROW(orderHistory[customer])),""),ROWS($A$15:A60)+$B$3))),IF($D$13="",INDEX(orderHistory[invoice_no],SMALL(IF(ISNUMBER(MATCH(orderHistory[customer],$D$9,0)*MATCH(orderHistory[status],$D$11,0)),MATCH(ROW(orderHistory[customer]),ROW(orderHistory[customer])),""),ROWS($A$15:A60)+$B$3)),INDEX(orderHistory[invoice_no],SMALL(IF(ISNUMBER(MATCH(orderHistory[customer],$D$9,0)*MATCH(orderHistory[status],$D$11,0)*MATCH(orderHistory[order_type],$D$13,0)),MATCH(ROW(orderHistory[customer]),ROW(orderHistory[customer])),""),ROWS($A$15:A60)+$B$3))))),"")=0,"",IFERROR(IF($D$9="",IF($D$11="",IF($D$13="",INDEX(orderHistory[invoice_no],SMALL(MATCH(ROW(orderHistory[customer]),ROW(orderHistory[customer])),ROWS($A$15:A60)+$B$3)),INDEX(orderHistory[invoice_no],SMALL(IF(ISNUMBER(MATCH(orderHistory[order_type],$D$13,0)),MATCH(ROW(orderHistory[customer]),ROW(orderHistory[customer])),""),ROWS($A$15:A60)+$B$3))),IF($D$13="",INDEX(orderHistory[invoice_no],SMALL(IF(ISNUMBER(MATCH(orderHistory[status],$D$11,0)),MATCH(ROW(orderHistory[customer]),ROW(orderHistory[customer])),""),ROWS($A$15:A60)+$B$3)),INDEX(orderHistory[invoice_no],SMALL(IF(ISNUMBER(MATCH(orderHistory[status],$D$11,0)*MATCH(orderHistory[order_type],$D$13,0)),MATCH(ROW(orderHistory[customer]),ROW(orderHistory[customer])),""),ROWS($A$15:A60)+$B$3)))),IF($D$11="",IF($D$13="",INDEX(orderHistory[invoice_no],SMALL(IF(ISNUMBER(MATCH(orderHistory[customer],$D$9,0)),MATCH(ROW(orderHistory[customer]),ROW(orderHistory[customer])),""),ROWS($A$15:A60)+$B$3)),INDEX(orderHistory[invoice_no],SMALL(IF(ISNUMBER(MATCH(orderHistory[customer],$D$9,0)*MATCH(orderHistory[order_type],$D$13,0)),MATCH(ROW(orderHistory[customer]),ROW(orderHistory[customer])),""),ROWS($A$15:A60)+$B$3))),IF($D$13="",INDEX(orderHistory[invoice_no],SMALL(IF(ISNUMBER(MATCH(orderHistory[customer],$D$9,0)*MATCH(orderHistory[status],$D$11,0)),MATCH(ROW(orderHistory[customer]),ROW(orderHistory[customer])),""),ROWS($A$15:A60)+$B$3)),INDEX(orderHistory[invoice_no],SMALL(IF(ISNUMBER(MATCH(orderHistory[customer],$D$9,0)*MATCH(orderHistory[status],$D$11,0)*MATCH(orderHistory[order_type],$D$13,0)),MATCH(ROW(orderHistory[customer]),ROW(orderHistory[customer])),""),ROWS($A$15:A60)+$B$3))))),""))</f>
        <v/>
      </c>
      <c r="Q55" s="381" t="str">
        <f t="array" ref="Q55">IF(IFERROR(IF($D$9="",IF($D$11="",IF($D$13="",INDEX(orderHistory[invoice_date],SMALL(MATCH(ROW(orderHistory[customer]),ROW(orderHistory[customer])),ROWS($A$15:A60)+$B$3)),INDEX(orderHistory[invoice_date],SMALL(IF(ISNUMBER(MATCH(orderHistory[order_type],$D$13,0)),MATCH(ROW(orderHistory[customer]),ROW(orderHistory[customer])),""),ROWS($A$15:A60)+$B$3))),IF($D$13="",INDEX(orderHistory[invoice_date],SMALL(IF(ISNUMBER(MATCH(orderHistory[status],$D$11,0)),MATCH(ROW(orderHistory[customer]),ROW(orderHistory[customer])),""),ROWS($A$15:A60)+$B$3)),INDEX(orderHistory[invoice_date],SMALL(IF(ISNUMBER(MATCH(orderHistory[status],$D$11,0)*MATCH(orderHistory[order_type],$D$13,0)),MATCH(ROW(orderHistory[customer]),ROW(orderHistory[customer])),""),ROWS($A$15:A60)+$B$3)))),IF($D$11="",IF($D$13="",INDEX(orderHistory[invoice_date],SMALL(IF(ISNUMBER(MATCH(orderHistory[customer],$D$9,0)),MATCH(ROW(orderHistory[customer]),ROW(orderHistory[customer])),""),ROWS($A$15:A60)+$B$3)),INDEX(orderHistory[invoice_date],SMALL(IF(ISNUMBER(MATCH(orderHistory[customer],$D$9,0)*MATCH(orderHistory[order_type],$D$13,0)),MATCH(ROW(orderHistory[customer]),ROW(orderHistory[customer])),""),ROWS($A$15:A60)+$B$3))),IF($D$13="",INDEX(orderHistory[invoice_date],SMALL(IF(ISNUMBER(MATCH(orderHistory[customer],$D$9,0)*MATCH(orderHistory[status],$D$11,0)),MATCH(ROW(orderHistory[customer]),ROW(orderHistory[customer])),""),ROWS($A$15:A60)+$B$3)),INDEX(orderHistory[invoice_date],SMALL(IF(ISNUMBER(MATCH(orderHistory[customer],$D$9,0)*MATCH(orderHistory[status],$D$11,0)*MATCH(orderHistory[order_type],$D$13,0)),MATCH(ROW(orderHistory[customer]),ROW(orderHistory[customer])),""),ROWS($A$15:A60)+$B$3))))),"")=0,"",IFERROR(IF($D$9="",IF($D$11="",IF($D$13="",INDEX(orderHistory[invoice_date],SMALL(MATCH(ROW(orderHistory[customer]),ROW(orderHistory[customer])),ROWS($A$15:A60)+$B$3)),INDEX(orderHistory[invoice_date],SMALL(IF(ISNUMBER(MATCH(orderHistory[order_type],$D$13,0)),MATCH(ROW(orderHistory[customer]),ROW(orderHistory[customer])),""),ROWS($A$15:A60)+$B$3))),IF($D$13="",INDEX(orderHistory[invoice_date],SMALL(IF(ISNUMBER(MATCH(orderHistory[status],$D$11,0)),MATCH(ROW(orderHistory[customer]),ROW(orderHistory[customer])),""),ROWS($A$15:A60)+$B$3)),INDEX(orderHistory[invoice_date],SMALL(IF(ISNUMBER(MATCH(orderHistory[status],$D$11,0)*MATCH(orderHistory[order_type],$D$13,0)),MATCH(ROW(orderHistory[customer]),ROW(orderHistory[customer])),""),ROWS($A$15:A60)+$B$3)))),IF($D$11="",IF($D$13="",INDEX(orderHistory[invoice_date],SMALL(IF(ISNUMBER(MATCH(orderHistory[customer],$D$9,0)),MATCH(ROW(orderHistory[customer]),ROW(orderHistory[customer])),""),ROWS($A$15:A60)+$B$3)),INDEX(orderHistory[invoice_date],SMALL(IF(ISNUMBER(MATCH(orderHistory[customer],$D$9,0)*MATCH(orderHistory[order_type],$D$13,0)),MATCH(ROW(orderHistory[customer]),ROW(orderHistory[customer])),""),ROWS($A$15:A60)+$B$3))),IF($D$13="",INDEX(orderHistory[invoice_date],SMALL(IF(ISNUMBER(MATCH(orderHistory[customer],$D$9,0)*MATCH(orderHistory[status],$D$11,0)),MATCH(ROW(orderHistory[customer]),ROW(orderHistory[customer])),""),ROWS($A$15:A60)+$B$3)),INDEX(orderHistory[invoice_date],SMALL(IF(ISNUMBER(MATCH(orderHistory[customer],$D$9,0)*MATCH(orderHistory[status],$D$11,0)*MATCH(orderHistory[order_type],$D$13,0)),MATCH(ROW(orderHistory[customer]),ROW(orderHistory[customer])),""),ROWS($A$15:A60)+$B$3))))),""))</f>
        <v/>
      </c>
      <c r="R55" s="377" t="str">
        <f t="array" ref="R55">IFERROR(IF($D$9="",IF($D$11="",IF($D$13="",INDEX(orderHistory[inv_amount],SMALL(MATCH(ROW(orderHistory[customer]),ROW(orderHistory[customer])),ROWS($A$15:A60)+$B$3)),INDEX(orderHistory[inv_amount],SMALL(IF(ISNUMBER(MATCH(orderHistory[order_type],$D$13,0)),MATCH(ROW(orderHistory[customer]),ROW(orderHistory[customer])),""),ROWS($A$15:A60)+$B$3))),IF($D$13="",INDEX(orderHistory[inv_amount],SMALL(IF(ISNUMBER(MATCH(orderHistory[status],$D$11,0)),MATCH(ROW(orderHistory[customer]),ROW(orderHistory[customer])),""),ROWS($A$15:A60)+$B$3)),INDEX(orderHistory[inv_amount],SMALL(IF(ISNUMBER(MATCH(orderHistory[status],$D$11,0)*MATCH(orderHistory[order_type],$D$13,0)),MATCH(ROW(orderHistory[customer]),ROW(orderHistory[customer])),""),ROWS($A$15:A60)+$B$3)))),IF($D$11="",IF($D$13="",INDEX(orderHistory[inv_amount],SMALL(IF(ISNUMBER(MATCH(orderHistory[customer],$D$9,0)),MATCH(ROW(orderHistory[customer]),ROW(orderHistory[customer])),""),ROWS($A$15:A60)+$B$3)),INDEX(orderHistory[inv_amount],SMALL(IF(ISNUMBER(MATCH(orderHistory[customer],$D$9,0)*MATCH(orderHistory[order_type],$D$13,0)),MATCH(ROW(orderHistory[customer]),ROW(orderHistory[customer])),""),ROWS($A$15:A60)+$B$3))),IF($D$13="",INDEX(orderHistory[inv_amount],SMALL(IF(ISNUMBER(MATCH(orderHistory[customer],$D$9,0)*MATCH(orderHistory[status],$D$11,0)),MATCH(ROW(orderHistory[customer]),ROW(orderHistory[customer])),""),ROWS($A$15:A60)+$B$3)),INDEX(orderHistory[inv_amount],SMALL(IF(ISNUMBER(MATCH(orderHistory[customer],$D$9,0)*MATCH(orderHistory[status],$D$11,0)*MATCH(orderHistory[order_type],$D$13,0)),MATCH(ROW(orderHistory[customer]),ROW(orderHistory[customer])),""),ROWS($A$15:A60)+$B$3))))),"")</f>
        <v/>
      </c>
      <c r="S55" s="383" t="str">
        <f t="shared" si="1"/>
        <v/>
      </c>
      <c r="T55" s="385" t="str">
        <f t="array" ref="T55">IFERROR(IF($D$9="",IF($D$11="",IF($D$13="",INDEX(orderHistory[payed],SMALL(MATCH(ROW(orderHistory[customer]),ROW(orderHistory[customer])),ROWS($A$15:A60)+$B$3)),INDEX(orderHistory[payed],SMALL(IF(ISNUMBER(MATCH(orderHistory[order_type],$D$13,0)),MATCH(ROW(orderHistory[customer]),ROW(orderHistory[customer])),""),ROWS($A$15:A60)+$B$3))),IF($D$13="",INDEX(orderHistory[payed],SMALL(IF(ISNUMBER(MATCH(orderHistory[status],$D$11,0)),MATCH(ROW(orderHistory[customer]),ROW(orderHistory[customer])),""),ROWS($A$15:A60)+$B$3)),INDEX(orderHistory[payed],SMALL(IF(ISNUMBER(MATCH(orderHistory[status],$D$11,0)*MATCH(orderHistory[order_type],$D$13,0)),MATCH(ROW(orderHistory[customer]),ROW(orderHistory[customer])),""),ROWS($A$15:A60)+$B$3)))),IF($D$11="",IF($D$13="",INDEX(orderHistory[payed],SMALL(IF(ISNUMBER(MATCH(orderHistory[customer],$D$9,0)),MATCH(ROW(orderHistory[customer]),ROW(orderHistory[customer])),""),ROWS($A$15:A60)+$B$3)),INDEX(orderHistory[payed],SMALL(IF(ISNUMBER(MATCH(orderHistory[customer],$D$9,0)*MATCH(orderHistory[order_type],$D$13,0)),MATCH(ROW(orderHistory[customer]),ROW(orderHistory[customer])),""),ROWS($A$15:A60)+$B$3))),IF($D$13="",INDEX(orderHistory[payed],SMALL(IF(ISNUMBER(MATCH(orderHistory[customer],$D$9,0)*MATCH(orderHistory[status],$D$11,0)),MATCH(ROW(orderHistory[customer]),ROW(orderHistory[customer])),""),ROWS($A$15:A60)+$B$3)),INDEX(orderHistory[payed],SMALL(IF(ISNUMBER(MATCH(orderHistory[customer],$D$9,0)*MATCH(orderHistory[status],$D$11,0)*MATCH(orderHistory[order_type],$D$13,0)),MATCH(ROW(orderHistory[customer]),ROW(orderHistory[customer])),""),ROWS($A$15:A60)+$B$3))))),"")</f>
        <v/>
      </c>
      <c r="U55" s="386" t="str">
        <f t="array" ref="U55">IFERROR(IF($D$9="",IF($D$11="",IF($D$13="",INDEX(orderHistory[shipping_method],SMALL(MATCH(ROW(orderHistory[customer]),ROW(orderHistory[customer])),ROWS($A$15:A60)+$B$3)),INDEX(orderHistory[shipping_method],SMALL(IF(ISNUMBER(MATCH(orderHistory[order_type],$D$13,0)),MATCH(ROW(orderHistory[customer]),ROW(orderHistory[customer])),""),ROWS($A$15:A60)+$B$3))),IF($D$13="",INDEX(orderHistory[shipping_method],SMALL(IF(ISNUMBER(MATCH(orderHistory[status],$D$11,0)),MATCH(ROW(orderHistory[customer]),ROW(orderHistory[customer])),""),ROWS($A$15:A60)+$B$3)),INDEX(orderHistory[shipping_method],SMALL(IF(ISNUMBER(MATCH(orderHistory[status],$D$11,0)*MATCH(orderHistory[order_type],$D$13,0)),MATCH(ROW(orderHistory[customer]),ROW(orderHistory[customer])),""),ROWS($A$15:A60)+$B$3)))),IF($D$11="",IF($D$13="",INDEX(orderHistory[shipping_method],SMALL(IF(ISNUMBER(MATCH(orderHistory[customer],$D$9,0)),MATCH(ROW(orderHistory[customer]),ROW(orderHistory[customer])),""),ROWS($A$15:A60)+$B$3)),INDEX(orderHistory[shipping_method],SMALL(IF(ISNUMBER(MATCH(orderHistory[customer],$D$9,0)*MATCH(orderHistory[order_type],$D$13,0)),MATCH(ROW(orderHistory[customer]),ROW(orderHistory[customer])),""),ROWS($A$15:A60)+$B$3))),IF($D$13="",INDEX(orderHistory[shipping_method],SMALL(IF(ISNUMBER(MATCH(orderHistory[customer],$D$9,0)*MATCH(orderHistory[status],$D$11,0)),MATCH(ROW(orderHistory[customer]),ROW(orderHistory[customer])),""),ROWS($A$15:A60)+$B$3)),INDEX(orderHistory[shipping_method],SMALL(IF(ISNUMBER(MATCH(orderHistory[customer],$D$9,0)*MATCH(orderHistory[status],$D$11,0)*MATCH(orderHistory[order_type],$D$13,0)),MATCH(ROW(orderHistory[customer]),ROW(orderHistory[customer])),""),ROWS($A$15:A60)+$B$3))))),"")</f>
        <v/>
      </c>
      <c r="V55" s="387" t="str">
        <f t="array" ref="V55">IFERROR(IF($D$9="",IF($D$11="",IF($D$13="",INDEX(orderHistory[status],SMALL(MATCH(ROW(orderHistory[customer]),ROW(orderHistory[customer])),ROWS($A$15:A60)+$B$3)),INDEX(orderHistory[status],SMALL(IF(ISNUMBER(MATCH(orderHistory[order_type],$D$13,0)),MATCH(ROW(orderHistory[customer]),ROW(orderHistory[customer])),""),ROWS($A$15:A60)+$B$3))),IF($D$13="",INDEX(orderHistory[status],SMALL(IF(ISNUMBER(MATCH(orderHistory[status],$D$11,0)),MATCH(ROW(orderHistory[customer]),ROW(orderHistory[customer])),""),ROWS($A$15:A60)+$B$3)),INDEX(orderHistory[status],SMALL(IF(ISNUMBER(MATCH(orderHistory[status],$D$11,0)*MATCH(orderHistory[order_type],$D$13,0)),MATCH(ROW(orderHistory[customer]),ROW(orderHistory[customer])),""),ROWS($A$15:A60)+$B$3)))),IF($D$11="",IF($D$13="",INDEX(orderHistory[status],SMALL(IF(ISNUMBER(MATCH(orderHistory[customer],$D$9,0)),MATCH(ROW(orderHistory[customer]),ROW(orderHistory[customer])),""),ROWS($A$15:A60)+$B$3)),INDEX(orderHistory[status],SMALL(IF(ISNUMBER(MATCH(orderHistory[customer],$D$9,0)*MATCH(orderHistory[order_type],$D$13,0)),MATCH(ROW(orderHistory[customer]),ROW(orderHistory[customer])),""),ROWS($A$15:A60)+$B$3))),IF($D$13="",INDEX(orderHistory[status],SMALL(IF(ISNUMBER(MATCH(orderHistory[customer],$D$9,0)*MATCH(orderHistory[status],$D$11,0)),MATCH(ROW(orderHistory[customer]),ROW(orderHistory[customer])),""),ROWS($A$15:A60)+$B$3)),INDEX(orderHistory[status],SMALL(IF(ISNUMBER(MATCH(orderHistory[customer],$D$9,0)*MATCH(orderHistory[status],$D$11,0)*MATCH(orderHistory[order_type],$D$13,0)),MATCH(ROW(orderHistory[customer]),ROW(orderHistory[customer])),""),ROWS($A$15:A60)+$B$3))))),"")</f>
        <v/>
      </c>
      <c r="W55" s="17"/>
      <c r="X55" s="17"/>
      <c r="AQ55" s="191"/>
      <c r="AR55" s="191" t="s">
        <v>466</v>
      </c>
      <c r="BG55"/>
      <c r="BK55" s="146"/>
      <c r="BL55" s="147"/>
      <c r="BM55" s="148"/>
      <c r="BN55" s="147"/>
      <c r="BO55" s="148"/>
      <c r="BZ55" s="305"/>
      <c r="CA55" s="270" t="str">
        <f>IF(BZ55="","",VLOOKUP(BZ55,bhpc_data[],7,FALSE))</f>
        <v/>
      </c>
      <c r="CB55" s="296"/>
      <c r="CC55" s="642"/>
      <c r="CD55" s="297"/>
      <c r="CE55" s="645"/>
      <c r="CF55" s="298"/>
      <c r="CG55" s="301" t="str">
        <f>IFERROR(ROUNDUP(CB55/VLOOKUP(BZ55,bhpc_data[],9,FALSE),0)+ROUNDUP(CD55/VLOOKUP(BZ55,bhpc_data[],9,FALSE),0),"")</f>
        <v/>
      </c>
      <c r="CH55" s="302" t="str">
        <f>IFERROR(ROUNDUP(CD55/VLOOKUP(BZ55,bhpc_data[],9,FALSE),0),"")</f>
        <v/>
      </c>
      <c r="CI55" s="302" t="str">
        <f>IFERROR(ROUNDUP(CF55/VLOOKUP(BZ55,bhpc_data[],9,FALSE),0),"")</f>
        <v/>
      </c>
      <c r="CJ55" s="302" t="str">
        <f>IFERROR(((CB55+CD55+CF55)/VLOOKUP(BZ55,bhpc_data[],9,FALSE))*VLOOKUP(BZ55,bhpc_data[],17,FALSE),"")</f>
        <v/>
      </c>
      <c r="CK55" s="302" t="str">
        <f>IFERROR(((CB55+CD55+CF55)/VLOOKUP(BZ55,bhpc_data[],9,FALSE))*VLOOKUP(BZ55,bhpc_data[],18,FALSE),"")</f>
        <v/>
      </c>
      <c r="CL55" s="346" t="str">
        <f>IFERROR((CB55+CD55)/VLOOKUP(BZ55,bhpc_data[],9,FALSE)*VLOOKUP(BZ55,bhpc_data[],14,FALSE)*VLOOKUP(BZ55,bhpc_data[],15,FALSE)*VLOOKUP(BZ55,bhpc_data[],16,FALSE)/1000000000,"")</f>
        <v/>
      </c>
      <c r="CM55" s="409" t="str">
        <f>IFERROR(VLOOKUP(BZ55,bhpc_data[],2,FALSE),"")</f>
        <v/>
      </c>
      <c r="CN55" s="409" t="str">
        <f>IFERROR(VLOOKUP(BZ55,bhpc_data[],19,FALSE),"")</f>
        <v/>
      </c>
      <c r="CO55" s="653" t="str">
        <f>IFERROR(VLOOKUP(BZ55,bhpc_data[],6,FALSE),"")</f>
        <v/>
      </c>
      <c r="CP55" s="654" t="str">
        <f>IFERROR(VLOOKUP(BZ55,inventory[],4,FALSE),"")</f>
        <v/>
      </c>
      <c r="CQ55" s="651" t="str">
        <f>IFERROR(IF(BZ55="","",IF($BX$15="SALE",VLOOKUP(BZ55,inventory[],5,FALSE),IF($BX$15="SAMPLING",VLOOKUP(BZ55,inventory[],5,FALSE),""))),"")</f>
        <v/>
      </c>
      <c r="CR55" s="652" t="str">
        <f>IFERROR(IF(BZ55="","",(CB55+CD55+CF55)*CQ55),"")</f>
        <v/>
      </c>
      <c r="CS55" s="557" t="str">
        <f>IF(BZ55="","",CB55*CC55+CD55*CE55)</f>
        <v/>
      </c>
      <c r="CU55" s="607"/>
      <c r="CV55" s="411">
        <f>SUM(bhpc_data[pallet_euro_rounded])</f>
        <v>1</v>
      </c>
      <c r="CW55" s="411">
        <f>SUM(bhpc_data[pallet_rounded])</f>
        <v>1</v>
      </c>
      <c r="CX55" s="411"/>
      <c r="CY55" s="411"/>
      <c r="CZ55" s="608"/>
      <c r="DA55" s="540" t="str">
        <f>IFERROR(VLOOKUP(BZ55,bhpc_data[],22,FALSE),"")</f>
        <v/>
      </c>
      <c r="EE55" s="454" t="s">
        <v>136</v>
      </c>
      <c r="EF55" s="447" t="str">
        <f>VLOOKUP(EE55,bhpc_data[],7,FALSE)</f>
        <v>BHPC PRESTIGE ELEGANCE 100ML EDP WOMEN</v>
      </c>
      <c r="EG55" s="555">
        <f>IFERROR(VLOOKUP(EE55,inventory[],4,FALSE),0)</f>
        <v>865</v>
      </c>
      <c r="EH55" s="555">
        <f>IFERROR(VLOOKUP(warehouse[[#This Row],[SKU]],$EQ$10:$ES$38,3,FALSE),0)</f>
        <v>0</v>
      </c>
      <c r="EI55" s="555">
        <f>IFERROR(VLOOKUP(warehouse[[#This Row],[SKU]],$EM$10:$EO$61,3,FALSE),0)</f>
        <v>1430</v>
      </c>
      <c r="EJ55" s="555">
        <f>warehouse[[#This Row],[T-1]]+warehouse[[#This Row],[SUPPLY]]-warehouse[[#This Row],[SALE + SAMPLING]]</f>
        <v>-565</v>
      </c>
      <c r="EK55" s="449"/>
      <c r="EM55" s="74" t="s">
        <v>208</v>
      </c>
      <c r="EN55" s="74" t="s">
        <v>209</v>
      </c>
      <c r="EO55" s="431">
        <v>23352</v>
      </c>
    </row>
    <row r="56" spans="10:145" ht="15" customHeight="1">
      <c r="L56" s="274" t="str">
        <f t="array" ref="L56">IFERROR(IF($D$9="",IF($D$11="",IF($D$13="",INDEX(orderHistory[customer],SMALL(MATCH(ROW(orderHistory[customer]),ROW(orderHistory[customer])),ROWS($A$15:A61)+$B$3)),INDEX(orderHistory[customer],SMALL(IF(ISNUMBER(MATCH(orderHistory[order_type],$D$13,0)),MATCH(ROW(orderHistory[customer]),ROW(orderHistory[customer])),""),ROWS($A$15:A61)+$B$3))),IF($D$13="",INDEX(orderHistory[customer],SMALL(IF(ISNUMBER(MATCH(orderHistory[status],$D$11,0)),MATCH(ROW(orderHistory[customer]),ROW(orderHistory[customer])),""),ROWS($A$15:A61)+$B$3)),INDEX(orderHistory[customer],SMALL(IF(ISNUMBER(MATCH(orderHistory[status],$D$11,0)*MATCH(orderHistory[order_type],$D$13,0)),MATCH(ROW(orderHistory[customer]),ROW(orderHistory[customer])),""),ROWS($A$15:A61)+$B$3)))),IF($D$11="",IF($D$13="",INDEX(orderHistory[customer],SMALL(IF(ISNUMBER(MATCH(orderHistory[customer],$D$9,0)),MATCH(ROW(orderHistory[customer]),ROW(orderHistory[customer])),""),ROWS($A$15:A61)+$B$3)),INDEX(orderHistory[customer],SMALL(IF(ISNUMBER(MATCH(orderHistory[customer],$D$9,0)*MATCH(orderHistory[order_type],$D$13,0)),MATCH(ROW(orderHistory[customer]),ROW(orderHistory[customer])),""),ROWS($A$15:A61)+$B$3))),IF($D$13="",INDEX(orderHistory[customer],SMALL(IF(ISNUMBER(MATCH(orderHistory[customer],$D$9,0)*MATCH(orderHistory[status],$D$11,0)),MATCH(ROW(orderHistory[customer]),ROW(orderHistory[customer])),""),ROWS($A$15:A61)+$B$3)),INDEX(orderHistory[customer],SMALL(IF(ISNUMBER(MATCH(orderHistory[customer],$D$9,0)*MATCH(orderHistory[status],$D$11,0)*MATCH(orderHistory[order_type],$D$13,0)),MATCH(ROW(orderHistory[customer]),ROW(orderHistory[customer])),""),ROWS($A$15:A61)+$B$3))))),"")</f>
        <v/>
      </c>
      <c r="M56" s="391" t="str">
        <f t="array" ref="M56">IFERROR(IF($D$9="",IF($D$11="",IF($D$13="",INDEX(orderHistory[order_no],SMALL(MATCH(ROW(orderHistory[customer]),ROW(orderHistory[customer])),ROWS($A$15:A61)+$B$3)),INDEX(orderHistory[order_no],SMALL(IF(ISNUMBER(MATCH(orderHistory[order_type],$D$13,0)),MATCH(ROW(orderHistory[customer]),ROW(orderHistory[customer])),""),ROWS($A$15:A61)+$B$3))),IF($D$13="",INDEX(orderHistory[order_no],SMALL(IF(ISNUMBER(MATCH(orderHistory[status],$D$11,0)),MATCH(ROW(orderHistory[customer]),ROW(orderHistory[customer])),""),ROWS($A$15:A61)+$B$3)),INDEX(orderHistory[order_no],SMALL(IF(ISNUMBER(MATCH(orderHistory[status],$D$11,0)*MATCH(orderHistory[order_type],$D$13,0)),MATCH(ROW(orderHistory[customer]),ROW(orderHistory[customer])),""),ROWS($A$15:A61)+$B$3)))),IF($D$11="",IF($D$13="",INDEX(orderHistory[order_no],SMALL(IF(ISNUMBER(MATCH(orderHistory[customer],$D$9,0)),MATCH(ROW(orderHistory[customer]),ROW(orderHistory[customer])),""),ROWS($A$15:A61)+$B$3)),INDEX(orderHistory[order_no],SMALL(IF(ISNUMBER(MATCH(orderHistory[customer],$D$9,0)*MATCH(orderHistory[order_type],$D$13,0)),MATCH(ROW(orderHistory[customer]),ROW(orderHistory[customer])),""),ROWS($A$15:A61)+$B$3))),IF($D$13="",INDEX(orderHistory[order_no],SMALL(IF(ISNUMBER(MATCH(orderHistory[customer],$D$9,0)*MATCH(orderHistory[status],$D$11,0)),MATCH(ROW(orderHistory[customer]),ROW(orderHistory[customer])),""),ROWS($A$15:A61)+$B$3)),INDEX(orderHistory[order_no],SMALL(IF(ISNUMBER(MATCH(orderHistory[customer],$D$9,0)*MATCH(orderHistory[status],$D$11,0)*MATCH(orderHistory[order_type],$D$13,0)),MATCH(ROW(orderHistory[customer]),ROW(orderHistory[customer])),""),ROWS($A$15:A61)+$B$3))))),"")</f>
        <v/>
      </c>
      <c r="N56" s="386" t="str">
        <f t="array" ref="N56">IFERROR(IF($D$9="",IF($D$11="",IF($D$13="",INDEX(orderHistory[order_type],SMALL(MATCH(ROW(orderHistory[customer]),ROW(orderHistory[customer])),ROWS($A$15:A61)+$B$3)),INDEX(orderHistory[order_type],SMALL(IF(ISNUMBER(MATCH(orderHistory[order_type],$D$13,0)),MATCH(ROW(orderHistory[customer]),ROW(orderHistory[customer])),""),ROWS($A$15:A61)+$B$3))),IF($D$13="",INDEX(orderHistory[order_type],SMALL(IF(ISNUMBER(MATCH(orderHistory[status],$D$11,0)),MATCH(ROW(orderHistory[customer]),ROW(orderHistory[customer])),""),ROWS($A$15:A61)+$B$3)),INDEX(orderHistory[order_type],SMALL(IF(ISNUMBER(MATCH(orderHistory[status],$D$11,0)*MATCH(orderHistory[order_type],$D$13,0)),MATCH(ROW(orderHistory[customer]),ROW(orderHistory[customer])),""),ROWS($A$15:A61)+$B$3)))),IF($D$11="",IF($D$13="",INDEX(orderHistory[order_type],SMALL(IF(ISNUMBER(MATCH(orderHistory[customer],$D$9,0)),MATCH(ROW(orderHistory[customer]),ROW(orderHistory[customer])),""),ROWS($A$15:A61)+$B$3)),INDEX(orderHistory[order_type],SMALL(IF(ISNUMBER(MATCH(orderHistory[customer],$D$9,0)*MATCH(orderHistory[order_type],$D$13,0)),MATCH(ROW(orderHistory[customer]),ROW(orderHistory[customer])),""),ROWS($A$15:A61)+$B$3))),IF($D$13="",INDEX(orderHistory[order_type],SMALL(IF(ISNUMBER(MATCH(orderHistory[customer],$D$9,0)*MATCH(orderHistory[status],$D$11,0)),MATCH(ROW(orderHistory[customer]),ROW(orderHistory[customer])),""),ROWS($A$15:A61)+$B$3)),INDEX(orderHistory[order_type],SMALL(IF(ISNUMBER(MATCH(orderHistory[customer],$D$9,0)*MATCH(orderHistory[status],$D$11,0)*MATCH(orderHistory[order_type],$D$13,0)),MATCH(ROW(orderHistory[customer]),ROW(orderHistory[customer])),""),ROWS($A$15:A61)+$B$3))))),"")</f>
        <v/>
      </c>
      <c r="O56" s="275" t="str">
        <f t="array" ref="O56">IFERROR(IF($D$9="",IF($D$11="",IF($D$13="",INDEX(orderHistory[order_date],SMALL(MATCH(ROW(orderHistory[customer]),ROW(orderHistory[customer])),ROWS($A$15:A61)+$B$3)),INDEX(orderHistory[order_date],SMALL(IF(ISNUMBER(MATCH(orderHistory[order_type],$D$13,0)),MATCH(ROW(orderHistory[customer]),ROW(orderHistory[customer])),""),ROWS($A$15:A61)+$B$3))),IF($D$13="",INDEX(orderHistory[order_date],SMALL(IF(ISNUMBER(MATCH(orderHistory[status],$D$11,0)),MATCH(ROW(orderHistory[customer]),ROW(orderHistory[customer])),""),ROWS($A$15:A61)+$B$3)),INDEX(orderHistory[order_date],SMALL(IF(ISNUMBER(MATCH(orderHistory[status],$D$11,0)*MATCH(orderHistory[order_type],$D$13,0)),MATCH(ROW(orderHistory[customer]),ROW(orderHistory[customer])),""),ROWS($A$15:A61)+$B$3)))),IF($D$11="",IF($D$13="",INDEX(orderHistory[order_date],SMALL(IF(ISNUMBER(MATCH(orderHistory[customer],$D$9,0)),MATCH(ROW(orderHistory[customer]),ROW(orderHistory[customer])),""),ROWS($A$15:A61)+$B$3)),INDEX(orderHistory[order_date],SMALL(IF(ISNUMBER(MATCH(orderHistory[customer],$D$9,0)*MATCH(orderHistory[order_type],$D$13,0)),MATCH(ROW(orderHistory[customer]),ROW(orderHistory[customer])),""),ROWS($A$15:A61)+$B$3))),IF($D$13="",INDEX(orderHistory[order_date],SMALL(IF(ISNUMBER(MATCH(orderHistory[customer],$D$9,0)*MATCH(orderHistory[status],$D$11,0)),MATCH(ROW(orderHistory[customer]),ROW(orderHistory[customer])),""),ROWS($A$15:A61)+$B$3)),INDEX(orderHistory[order_date],SMALL(IF(ISNUMBER(MATCH(orderHistory[customer],$D$9,0)*MATCH(orderHistory[status],$D$11,0)*MATCH(orderHistory[order_type],$D$13,0)),MATCH(ROW(orderHistory[customer]),ROW(orderHistory[customer])),""),ROWS($A$15:A61)+$B$3))))),"")</f>
        <v/>
      </c>
      <c r="P56" s="379" t="str">
        <f t="array" ref="P56">IF(IFERROR(IF($D$9="",IF($D$11="",IF($D$13="",INDEX(orderHistory[invoice_no],SMALL(MATCH(ROW(orderHistory[customer]),ROW(orderHistory[customer])),ROWS($A$15:A61)+$B$3)),INDEX(orderHistory[invoice_no],SMALL(IF(ISNUMBER(MATCH(orderHistory[order_type],$D$13,0)),MATCH(ROW(orderHistory[customer]),ROW(orderHistory[customer])),""),ROWS($A$15:A61)+$B$3))),IF($D$13="",INDEX(orderHistory[invoice_no],SMALL(IF(ISNUMBER(MATCH(orderHistory[status],$D$11,0)),MATCH(ROW(orderHistory[customer]),ROW(orderHistory[customer])),""),ROWS($A$15:A61)+$B$3)),INDEX(orderHistory[invoice_no],SMALL(IF(ISNUMBER(MATCH(orderHistory[status],$D$11,0)*MATCH(orderHistory[order_type],$D$13,0)),MATCH(ROW(orderHistory[customer]),ROW(orderHistory[customer])),""),ROWS($A$15:A61)+$B$3)))),IF($D$11="",IF($D$13="",INDEX(orderHistory[invoice_no],SMALL(IF(ISNUMBER(MATCH(orderHistory[customer],$D$9,0)),MATCH(ROW(orderHistory[customer]),ROW(orderHistory[customer])),""),ROWS($A$15:A61)+$B$3)),INDEX(orderHistory[invoice_no],SMALL(IF(ISNUMBER(MATCH(orderHistory[customer],$D$9,0)*MATCH(orderHistory[order_type],$D$13,0)),MATCH(ROW(orderHistory[customer]),ROW(orderHistory[customer])),""),ROWS($A$15:A61)+$B$3))),IF($D$13="",INDEX(orderHistory[invoice_no],SMALL(IF(ISNUMBER(MATCH(orderHistory[customer],$D$9,0)*MATCH(orderHistory[status],$D$11,0)),MATCH(ROW(orderHistory[customer]),ROW(orderHistory[customer])),""),ROWS($A$15:A61)+$B$3)),INDEX(orderHistory[invoice_no],SMALL(IF(ISNUMBER(MATCH(orderHistory[customer],$D$9,0)*MATCH(orderHistory[status],$D$11,0)*MATCH(orderHistory[order_type],$D$13,0)),MATCH(ROW(orderHistory[customer]),ROW(orderHistory[customer])),""),ROWS($A$15:A61)+$B$3))))),"")=0,"",IFERROR(IF($D$9="",IF($D$11="",IF($D$13="",INDEX(orderHistory[invoice_no],SMALL(MATCH(ROW(orderHistory[customer]),ROW(orderHistory[customer])),ROWS($A$15:A61)+$B$3)),INDEX(orderHistory[invoice_no],SMALL(IF(ISNUMBER(MATCH(orderHistory[order_type],$D$13,0)),MATCH(ROW(orderHistory[customer]),ROW(orderHistory[customer])),""),ROWS($A$15:A61)+$B$3))),IF($D$13="",INDEX(orderHistory[invoice_no],SMALL(IF(ISNUMBER(MATCH(orderHistory[status],$D$11,0)),MATCH(ROW(orderHistory[customer]),ROW(orderHistory[customer])),""),ROWS($A$15:A61)+$B$3)),INDEX(orderHistory[invoice_no],SMALL(IF(ISNUMBER(MATCH(orderHistory[status],$D$11,0)*MATCH(orderHistory[order_type],$D$13,0)),MATCH(ROW(orderHistory[customer]),ROW(orderHistory[customer])),""),ROWS($A$15:A61)+$B$3)))),IF($D$11="",IF($D$13="",INDEX(orderHistory[invoice_no],SMALL(IF(ISNUMBER(MATCH(orderHistory[customer],$D$9,0)),MATCH(ROW(orderHistory[customer]),ROW(orderHistory[customer])),""),ROWS($A$15:A61)+$B$3)),INDEX(orderHistory[invoice_no],SMALL(IF(ISNUMBER(MATCH(orderHistory[customer],$D$9,0)*MATCH(orderHistory[order_type],$D$13,0)),MATCH(ROW(orderHistory[customer]),ROW(orderHistory[customer])),""),ROWS($A$15:A61)+$B$3))),IF($D$13="",INDEX(orderHistory[invoice_no],SMALL(IF(ISNUMBER(MATCH(orderHistory[customer],$D$9,0)*MATCH(orderHistory[status],$D$11,0)),MATCH(ROW(orderHistory[customer]),ROW(orderHistory[customer])),""),ROWS($A$15:A61)+$B$3)),INDEX(orderHistory[invoice_no],SMALL(IF(ISNUMBER(MATCH(orderHistory[customer],$D$9,0)*MATCH(orderHistory[status],$D$11,0)*MATCH(orderHistory[order_type],$D$13,0)),MATCH(ROW(orderHistory[customer]),ROW(orderHistory[customer])),""),ROWS($A$15:A61)+$B$3))))),""))</f>
        <v/>
      </c>
      <c r="Q56" s="381" t="str">
        <f t="array" ref="Q56">IF(IFERROR(IF($D$9="",IF($D$11="",IF($D$13="",INDEX(orderHistory[invoice_date],SMALL(MATCH(ROW(orderHistory[customer]),ROW(orderHistory[customer])),ROWS($A$15:A61)+$B$3)),INDEX(orderHistory[invoice_date],SMALL(IF(ISNUMBER(MATCH(orderHistory[order_type],$D$13,0)),MATCH(ROW(orderHistory[customer]),ROW(orderHistory[customer])),""),ROWS($A$15:A61)+$B$3))),IF($D$13="",INDEX(orderHistory[invoice_date],SMALL(IF(ISNUMBER(MATCH(orderHistory[status],$D$11,0)),MATCH(ROW(orderHistory[customer]),ROW(orderHistory[customer])),""),ROWS($A$15:A61)+$B$3)),INDEX(orderHistory[invoice_date],SMALL(IF(ISNUMBER(MATCH(orderHistory[status],$D$11,0)*MATCH(orderHistory[order_type],$D$13,0)),MATCH(ROW(orderHistory[customer]),ROW(orderHistory[customer])),""),ROWS($A$15:A61)+$B$3)))),IF($D$11="",IF($D$13="",INDEX(orderHistory[invoice_date],SMALL(IF(ISNUMBER(MATCH(orderHistory[customer],$D$9,0)),MATCH(ROW(orderHistory[customer]),ROW(orderHistory[customer])),""),ROWS($A$15:A61)+$B$3)),INDEX(orderHistory[invoice_date],SMALL(IF(ISNUMBER(MATCH(orderHistory[customer],$D$9,0)*MATCH(orderHistory[order_type],$D$13,0)),MATCH(ROW(orderHistory[customer]),ROW(orderHistory[customer])),""),ROWS($A$15:A61)+$B$3))),IF($D$13="",INDEX(orderHistory[invoice_date],SMALL(IF(ISNUMBER(MATCH(orderHistory[customer],$D$9,0)*MATCH(orderHistory[status],$D$11,0)),MATCH(ROW(orderHistory[customer]),ROW(orderHistory[customer])),""),ROWS($A$15:A61)+$B$3)),INDEX(orderHistory[invoice_date],SMALL(IF(ISNUMBER(MATCH(orderHistory[customer],$D$9,0)*MATCH(orderHistory[status],$D$11,0)*MATCH(orderHistory[order_type],$D$13,0)),MATCH(ROW(orderHistory[customer]),ROW(orderHistory[customer])),""),ROWS($A$15:A61)+$B$3))))),"")=0,"",IFERROR(IF($D$9="",IF($D$11="",IF($D$13="",INDEX(orderHistory[invoice_date],SMALL(MATCH(ROW(orderHistory[customer]),ROW(orderHistory[customer])),ROWS($A$15:A61)+$B$3)),INDEX(orderHistory[invoice_date],SMALL(IF(ISNUMBER(MATCH(orderHistory[order_type],$D$13,0)),MATCH(ROW(orderHistory[customer]),ROW(orderHistory[customer])),""),ROWS($A$15:A61)+$B$3))),IF($D$13="",INDEX(orderHistory[invoice_date],SMALL(IF(ISNUMBER(MATCH(orderHistory[status],$D$11,0)),MATCH(ROW(orderHistory[customer]),ROW(orderHistory[customer])),""),ROWS($A$15:A61)+$B$3)),INDEX(orderHistory[invoice_date],SMALL(IF(ISNUMBER(MATCH(orderHistory[status],$D$11,0)*MATCH(orderHistory[order_type],$D$13,0)),MATCH(ROW(orderHistory[customer]),ROW(orderHistory[customer])),""),ROWS($A$15:A61)+$B$3)))),IF($D$11="",IF($D$13="",INDEX(orderHistory[invoice_date],SMALL(IF(ISNUMBER(MATCH(orderHistory[customer],$D$9,0)),MATCH(ROW(orderHistory[customer]),ROW(orderHistory[customer])),""),ROWS($A$15:A61)+$B$3)),INDEX(orderHistory[invoice_date],SMALL(IF(ISNUMBER(MATCH(orderHistory[customer],$D$9,0)*MATCH(orderHistory[order_type],$D$13,0)),MATCH(ROW(orderHistory[customer]),ROW(orderHistory[customer])),""),ROWS($A$15:A61)+$B$3))),IF($D$13="",INDEX(orderHistory[invoice_date],SMALL(IF(ISNUMBER(MATCH(orderHistory[customer],$D$9,0)*MATCH(orderHistory[status],$D$11,0)),MATCH(ROW(orderHistory[customer]),ROW(orderHistory[customer])),""),ROWS($A$15:A61)+$B$3)),INDEX(orderHistory[invoice_date],SMALL(IF(ISNUMBER(MATCH(orderHistory[customer],$D$9,0)*MATCH(orderHistory[status],$D$11,0)*MATCH(orderHistory[order_type],$D$13,0)),MATCH(ROW(orderHistory[customer]),ROW(orderHistory[customer])),""),ROWS($A$15:A61)+$B$3))))),""))</f>
        <v/>
      </c>
      <c r="R56" s="377" t="str">
        <f t="array" ref="R56">IFERROR(IF($D$9="",IF($D$11="",IF($D$13="",INDEX(orderHistory[inv_amount],SMALL(MATCH(ROW(orderHistory[customer]),ROW(orderHistory[customer])),ROWS($A$15:A61)+$B$3)),INDEX(orderHistory[inv_amount],SMALL(IF(ISNUMBER(MATCH(orderHistory[order_type],$D$13,0)),MATCH(ROW(orderHistory[customer]),ROW(orderHistory[customer])),""),ROWS($A$15:A61)+$B$3))),IF($D$13="",INDEX(orderHistory[inv_amount],SMALL(IF(ISNUMBER(MATCH(orderHistory[status],$D$11,0)),MATCH(ROW(orderHistory[customer]),ROW(orderHistory[customer])),""),ROWS($A$15:A61)+$B$3)),INDEX(orderHistory[inv_amount],SMALL(IF(ISNUMBER(MATCH(orderHistory[status],$D$11,0)*MATCH(orderHistory[order_type],$D$13,0)),MATCH(ROW(orderHistory[customer]),ROW(orderHistory[customer])),""),ROWS($A$15:A61)+$B$3)))),IF($D$11="",IF($D$13="",INDEX(orderHistory[inv_amount],SMALL(IF(ISNUMBER(MATCH(orderHistory[customer],$D$9,0)),MATCH(ROW(orderHistory[customer]),ROW(orderHistory[customer])),""),ROWS($A$15:A61)+$B$3)),INDEX(orderHistory[inv_amount],SMALL(IF(ISNUMBER(MATCH(orderHistory[customer],$D$9,0)*MATCH(orderHistory[order_type],$D$13,0)),MATCH(ROW(orderHistory[customer]),ROW(orderHistory[customer])),""),ROWS($A$15:A61)+$B$3))),IF($D$13="",INDEX(orderHistory[inv_amount],SMALL(IF(ISNUMBER(MATCH(orderHistory[customer],$D$9,0)*MATCH(orderHistory[status],$D$11,0)),MATCH(ROW(orderHistory[customer]),ROW(orderHistory[customer])),""),ROWS($A$15:A61)+$B$3)),INDEX(orderHistory[inv_amount],SMALL(IF(ISNUMBER(MATCH(orderHistory[customer],$D$9,0)*MATCH(orderHistory[status],$D$11,0)*MATCH(orderHistory[order_type],$D$13,0)),MATCH(ROW(orderHistory[customer]),ROW(orderHistory[customer])),""),ROWS($A$15:A61)+$B$3))))),"")</f>
        <v/>
      </c>
      <c r="S56" s="383" t="str">
        <f t="shared" si="1"/>
        <v/>
      </c>
      <c r="T56" s="385" t="str">
        <f t="array" ref="T56">IFERROR(IF($D$9="",IF($D$11="",IF($D$13="",INDEX(orderHistory[payed],SMALL(MATCH(ROW(orderHistory[customer]),ROW(orderHistory[customer])),ROWS($A$15:A61)+$B$3)),INDEX(orderHistory[payed],SMALL(IF(ISNUMBER(MATCH(orderHistory[order_type],$D$13,0)),MATCH(ROW(orderHistory[customer]),ROW(orderHistory[customer])),""),ROWS($A$15:A61)+$B$3))),IF($D$13="",INDEX(orderHistory[payed],SMALL(IF(ISNUMBER(MATCH(orderHistory[status],$D$11,0)),MATCH(ROW(orderHistory[customer]),ROW(orderHistory[customer])),""),ROWS($A$15:A61)+$B$3)),INDEX(orderHistory[payed],SMALL(IF(ISNUMBER(MATCH(orderHistory[status],$D$11,0)*MATCH(orderHistory[order_type],$D$13,0)),MATCH(ROW(orderHistory[customer]),ROW(orderHistory[customer])),""),ROWS($A$15:A61)+$B$3)))),IF($D$11="",IF($D$13="",INDEX(orderHistory[payed],SMALL(IF(ISNUMBER(MATCH(orderHistory[customer],$D$9,0)),MATCH(ROW(orderHistory[customer]),ROW(orderHistory[customer])),""),ROWS($A$15:A61)+$B$3)),INDEX(orderHistory[payed],SMALL(IF(ISNUMBER(MATCH(orderHistory[customer],$D$9,0)*MATCH(orderHistory[order_type],$D$13,0)),MATCH(ROW(orderHistory[customer]),ROW(orderHistory[customer])),""),ROWS($A$15:A61)+$B$3))),IF($D$13="",INDEX(orderHistory[payed],SMALL(IF(ISNUMBER(MATCH(orderHistory[customer],$D$9,0)*MATCH(orderHistory[status],$D$11,0)),MATCH(ROW(orderHistory[customer]),ROW(orderHistory[customer])),""),ROWS($A$15:A61)+$B$3)),INDEX(orderHistory[payed],SMALL(IF(ISNUMBER(MATCH(orderHistory[customer],$D$9,0)*MATCH(orderHistory[status],$D$11,0)*MATCH(orderHistory[order_type],$D$13,0)),MATCH(ROW(orderHistory[customer]),ROW(orderHistory[customer])),""),ROWS($A$15:A61)+$B$3))))),"")</f>
        <v/>
      </c>
      <c r="U56" s="386" t="str">
        <f t="array" ref="U56">IFERROR(IF($D$9="",IF($D$11="",IF($D$13="",INDEX(orderHistory[shipping_method],SMALL(MATCH(ROW(orderHistory[customer]),ROW(orderHistory[customer])),ROWS($A$15:A61)+$B$3)),INDEX(orderHistory[shipping_method],SMALL(IF(ISNUMBER(MATCH(orderHistory[order_type],$D$13,0)),MATCH(ROW(orderHistory[customer]),ROW(orderHistory[customer])),""),ROWS($A$15:A61)+$B$3))),IF($D$13="",INDEX(orderHistory[shipping_method],SMALL(IF(ISNUMBER(MATCH(orderHistory[status],$D$11,0)),MATCH(ROW(orderHistory[customer]),ROW(orderHistory[customer])),""),ROWS($A$15:A61)+$B$3)),INDEX(orderHistory[shipping_method],SMALL(IF(ISNUMBER(MATCH(orderHistory[status],$D$11,0)*MATCH(orderHistory[order_type],$D$13,0)),MATCH(ROW(orderHistory[customer]),ROW(orderHistory[customer])),""),ROWS($A$15:A61)+$B$3)))),IF($D$11="",IF($D$13="",INDEX(orderHistory[shipping_method],SMALL(IF(ISNUMBER(MATCH(orderHistory[customer],$D$9,0)),MATCH(ROW(orderHistory[customer]),ROW(orderHistory[customer])),""),ROWS($A$15:A61)+$B$3)),INDEX(orderHistory[shipping_method],SMALL(IF(ISNUMBER(MATCH(orderHistory[customer],$D$9,0)*MATCH(orderHistory[order_type],$D$13,0)),MATCH(ROW(orderHistory[customer]),ROW(orderHistory[customer])),""),ROWS($A$15:A61)+$B$3))),IF($D$13="",INDEX(orderHistory[shipping_method],SMALL(IF(ISNUMBER(MATCH(orderHistory[customer],$D$9,0)*MATCH(orderHistory[status],$D$11,0)),MATCH(ROW(orderHistory[customer]),ROW(orderHistory[customer])),""),ROWS($A$15:A61)+$B$3)),INDEX(orderHistory[shipping_method],SMALL(IF(ISNUMBER(MATCH(orderHistory[customer],$D$9,0)*MATCH(orderHistory[status],$D$11,0)*MATCH(orderHistory[order_type],$D$13,0)),MATCH(ROW(orderHistory[customer]),ROW(orderHistory[customer])),""),ROWS($A$15:A61)+$B$3))))),"")</f>
        <v/>
      </c>
      <c r="V56" s="387" t="str">
        <f t="array" ref="V56">IFERROR(IF($D$9="",IF($D$11="",IF($D$13="",INDEX(orderHistory[status],SMALL(MATCH(ROW(orderHistory[customer]),ROW(orderHistory[customer])),ROWS($A$15:A61)+$B$3)),INDEX(orderHistory[status],SMALL(IF(ISNUMBER(MATCH(orderHistory[order_type],$D$13,0)),MATCH(ROW(orderHistory[customer]),ROW(orderHistory[customer])),""),ROWS($A$15:A61)+$B$3))),IF($D$13="",INDEX(orderHistory[status],SMALL(IF(ISNUMBER(MATCH(orderHistory[status],$D$11,0)),MATCH(ROW(orderHistory[customer]),ROW(orderHistory[customer])),""),ROWS($A$15:A61)+$B$3)),INDEX(orderHistory[status],SMALL(IF(ISNUMBER(MATCH(orderHistory[status],$D$11,0)*MATCH(orderHistory[order_type],$D$13,0)),MATCH(ROW(orderHistory[customer]),ROW(orderHistory[customer])),""),ROWS($A$15:A61)+$B$3)))),IF($D$11="",IF($D$13="",INDEX(orderHistory[status],SMALL(IF(ISNUMBER(MATCH(orderHistory[customer],$D$9,0)),MATCH(ROW(orderHistory[customer]),ROW(orderHistory[customer])),""),ROWS($A$15:A61)+$B$3)),INDEX(orderHistory[status],SMALL(IF(ISNUMBER(MATCH(orderHistory[customer],$D$9,0)*MATCH(orderHistory[order_type],$D$13,0)),MATCH(ROW(orderHistory[customer]),ROW(orderHistory[customer])),""),ROWS($A$15:A61)+$B$3))),IF($D$13="",INDEX(orderHistory[status],SMALL(IF(ISNUMBER(MATCH(orderHistory[customer],$D$9,0)*MATCH(orderHistory[status],$D$11,0)),MATCH(ROW(orderHistory[customer]),ROW(orderHistory[customer])),""),ROWS($A$15:A61)+$B$3)),INDEX(orderHistory[status],SMALL(IF(ISNUMBER(MATCH(orderHistory[customer],$D$9,0)*MATCH(orderHistory[status],$D$11,0)*MATCH(orderHistory[order_type],$D$13,0)),MATCH(ROW(orderHistory[customer]),ROW(orderHistory[customer])),""),ROWS($A$15:A61)+$B$3))))),"")</f>
        <v/>
      </c>
      <c r="AQ56" s="191"/>
      <c r="AR56" s="191" t="s">
        <v>742</v>
      </c>
      <c r="BG56"/>
      <c r="BK56" s="146"/>
      <c r="BL56" s="147"/>
      <c r="BM56" s="148"/>
      <c r="BN56" s="147"/>
      <c r="BO56" s="148"/>
      <c r="BZ56" s="305"/>
      <c r="CA56" s="270" t="str">
        <f>IF(BZ56="","",VLOOKUP(BZ56,bhpc_data[],7,FALSE))</f>
        <v/>
      </c>
      <c r="CB56" s="296"/>
      <c r="CC56" s="642"/>
      <c r="CD56" s="297"/>
      <c r="CE56" s="645"/>
      <c r="CF56" s="298"/>
      <c r="CG56" s="301" t="str">
        <f>IFERROR(ROUNDUP(CB56/VLOOKUP(BZ56,bhpc_data[],9,FALSE),0)+ROUNDUP(CD56/VLOOKUP(BZ56,bhpc_data[],9,FALSE),0),"")</f>
        <v/>
      </c>
      <c r="CH56" s="302" t="str">
        <f>IFERROR(ROUNDUP(CD56/VLOOKUP(BZ56,bhpc_data[],9,FALSE),0),"")</f>
        <v/>
      </c>
      <c r="CI56" s="302" t="str">
        <f>IFERROR(ROUNDUP(CF56/VLOOKUP(BZ56,bhpc_data[],9,FALSE),0),"")</f>
        <v/>
      </c>
      <c r="CJ56" s="302" t="str">
        <f>IFERROR(((CB56+CD56+CF56)/VLOOKUP(BZ56,bhpc_data[],9,FALSE))*VLOOKUP(BZ56,bhpc_data[],17,FALSE),"")</f>
        <v/>
      </c>
      <c r="CK56" s="302" t="str">
        <f>IFERROR(((CB56+CD56+CF56)/VLOOKUP(BZ56,bhpc_data[],9,FALSE))*VLOOKUP(BZ56,bhpc_data[],18,FALSE),"")</f>
        <v/>
      </c>
      <c r="CL56" s="346" t="str">
        <f>IFERROR((CB56+CD56)/VLOOKUP(BZ56,bhpc_data[],9,FALSE)*VLOOKUP(BZ56,bhpc_data[],14,FALSE)*VLOOKUP(BZ56,bhpc_data[],15,FALSE)*VLOOKUP(BZ56,bhpc_data[],16,FALSE)/1000000000,"")</f>
        <v/>
      </c>
      <c r="CM56" s="409" t="str">
        <f>IFERROR(VLOOKUP(BZ56,bhpc_data[],2,FALSE),"")</f>
        <v/>
      </c>
      <c r="CN56" s="409" t="str">
        <f>IFERROR(VLOOKUP(BZ56,bhpc_data[],19,FALSE),"")</f>
        <v/>
      </c>
      <c r="CO56" s="653" t="str">
        <f>IFERROR(VLOOKUP(BZ56,bhpc_data[],6,FALSE),"")</f>
        <v/>
      </c>
      <c r="CP56" s="654" t="str">
        <f>IFERROR(VLOOKUP(BZ56,inventory[],4,FALSE),"")</f>
        <v/>
      </c>
      <c r="CQ56" s="651" t="str">
        <f>IFERROR(IF(BZ56="","",IF($BX$15="SALE",VLOOKUP(BZ56,inventory[],5,FALSE),IF($BX$15="SAMPLING",VLOOKUP(BZ56,inventory[],5,FALSE),""))),"")</f>
        <v/>
      </c>
      <c r="CR56" s="652" t="str">
        <f>IFERROR(IF(BZ56="","",(CB56+CD56+CF56)*CQ56),"")</f>
        <v/>
      </c>
      <c r="CS56" s="557" t="str">
        <f>IF(BZ56="","",CB56*CC56+CD56*CE56)</f>
        <v/>
      </c>
      <c r="CU56" s="610"/>
      <c r="CV56" s="611"/>
      <c r="CW56" s="611"/>
      <c r="CX56" s="611"/>
      <c r="CY56" s="611"/>
      <c r="CZ56" s="612"/>
      <c r="DA56" s="540" t="str">
        <f>IFERROR(VLOOKUP(BZ56,bhpc_data[],22,FALSE),"")</f>
        <v/>
      </c>
      <c r="EE56" s="454" t="s">
        <v>138</v>
      </c>
      <c r="EF56" s="447" t="str">
        <f>VLOOKUP(EE56,bhpc_data[],7,FALSE)</f>
        <v>BHPC PRESTIGE CHALLENGE 100ML EDP WOMEN</v>
      </c>
      <c r="EG56" s="555">
        <f>IFERROR(VLOOKUP(EE56,inventory[],4,FALSE),0)</f>
        <v>576</v>
      </c>
      <c r="EH56" s="555">
        <f>IFERROR(VLOOKUP(warehouse[[#This Row],[SKU]],$EQ$10:$ES$38,3,FALSE),0)</f>
        <v>0</v>
      </c>
      <c r="EI56" s="555">
        <f>IFERROR(VLOOKUP(warehouse[[#This Row],[SKU]],$EM$10:$EO$61,3,FALSE),0)</f>
        <v>1430</v>
      </c>
      <c r="EJ56" s="555">
        <f>warehouse[[#This Row],[T-1]]+warehouse[[#This Row],[SUPPLY]]-warehouse[[#This Row],[SALE + SAMPLING]]</f>
        <v>-854</v>
      </c>
      <c r="EK56" s="449"/>
      <c r="EM56" s="74" t="s">
        <v>188</v>
      </c>
      <c r="EN56" s="74" t="s">
        <v>191</v>
      </c>
      <c r="EO56" s="431">
        <v>153</v>
      </c>
    </row>
    <row r="57" spans="10:145" ht="15" customHeight="1">
      <c r="L57" s="274" t="str">
        <f t="array" ref="L57">IFERROR(IF($D$9="",IF($D$11="",IF($D$13="",INDEX(orderHistory[customer],SMALL(MATCH(ROW(orderHistory[customer]),ROW(orderHistory[customer])),ROWS($A$15:A62)+$B$3)),INDEX(orderHistory[customer],SMALL(IF(ISNUMBER(MATCH(orderHistory[order_type],$D$13,0)),MATCH(ROW(orderHistory[customer]),ROW(orderHistory[customer])),""),ROWS($A$15:A62)+$B$3))),IF($D$13="",INDEX(orderHistory[customer],SMALL(IF(ISNUMBER(MATCH(orderHistory[status],$D$11,0)),MATCH(ROW(orderHistory[customer]),ROW(orderHistory[customer])),""),ROWS($A$15:A62)+$B$3)),INDEX(orderHistory[customer],SMALL(IF(ISNUMBER(MATCH(orderHistory[status],$D$11,0)*MATCH(orderHistory[order_type],$D$13,0)),MATCH(ROW(orderHistory[customer]),ROW(orderHistory[customer])),""),ROWS($A$15:A62)+$B$3)))),IF($D$11="",IF($D$13="",INDEX(orderHistory[customer],SMALL(IF(ISNUMBER(MATCH(orderHistory[customer],$D$9,0)),MATCH(ROW(orderHistory[customer]),ROW(orderHistory[customer])),""),ROWS($A$15:A62)+$B$3)),INDEX(orderHistory[customer],SMALL(IF(ISNUMBER(MATCH(orderHistory[customer],$D$9,0)*MATCH(orderHistory[order_type],$D$13,0)),MATCH(ROW(orderHistory[customer]),ROW(orderHistory[customer])),""),ROWS($A$15:A62)+$B$3))),IF($D$13="",INDEX(orderHistory[customer],SMALL(IF(ISNUMBER(MATCH(orderHistory[customer],$D$9,0)*MATCH(orderHistory[status],$D$11,0)),MATCH(ROW(orderHistory[customer]),ROW(orderHistory[customer])),""),ROWS($A$15:A62)+$B$3)),INDEX(orderHistory[customer],SMALL(IF(ISNUMBER(MATCH(orderHistory[customer],$D$9,0)*MATCH(orderHistory[status],$D$11,0)*MATCH(orderHistory[order_type],$D$13,0)),MATCH(ROW(orderHistory[customer]),ROW(orderHistory[customer])),""),ROWS($A$15:A62)+$B$3))))),"")</f>
        <v/>
      </c>
      <c r="M57" s="391" t="str">
        <f t="array" ref="M57">IFERROR(IF($D$9="",IF($D$11="",IF($D$13="",INDEX(orderHistory[order_no],SMALL(MATCH(ROW(orderHistory[customer]),ROW(orderHistory[customer])),ROWS($A$15:A62)+$B$3)),INDEX(orderHistory[order_no],SMALL(IF(ISNUMBER(MATCH(orderHistory[order_type],$D$13,0)),MATCH(ROW(orderHistory[customer]),ROW(orderHistory[customer])),""),ROWS($A$15:A62)+$B$3))),IF($D$13="",INDEX(orderHistory[order_no],SMALL(IF(ISNUMBER(MATCH(orderHistory[status],$D$11,0)),MATCH(ROW(orderHistory[customer]),ROW(orderHistory[customer])),""),ROWS($A$15:A62)+$B$3)),INDEX(orderHistory[order_no],SMALL(IF(ISNUMBER(MATCH(orderHistory[status],$D$11,0)*MATCH(orderHistory[order_type],$D$13,0)),MATCH(ROW(orderHistory[customer]),ROW(orderHistory[customer])),""),ROWS($A$15:A62)+$B$3)))),IF($D$11="",IF($D$13="",INDEX(orderHistory[order_no],SMALL(IF(ISNUMBER(MATCH(orderHistory[customer],$D$9,0)),MATCH(ROW(orderHistory[customer]),ROW(orderHistory[customer])),""),ROWS($A$15:A62)+$B$3)),INDEX(orderHistory[order_no],SMALL(IF(ISNUMBER(MATCH(orderHistory[customer],$D$9,0)*MATCH(orderHistory[order_type],$D$13,0)),MATCH(ROW(orderHistory[customer]),ROW(orderHistory[customer])),""),ROWS($A$15:A62)+$B$3))),IF($D$13="",INDEX(orderHistory[order_no],SMALL(IF(ISNUMBER(MATCH(orderHistory[customer],$D$9,0)*MATCH(orderHistory[status],$D$11,0)),MATCH(ROW(orderHistory[customer]),ROW(orderHistory[customer])),""),ROWS($A$15:A62)+$B$3)),INDEX(orderHistory[order_no],SMALL(IF(ISNUMBER(MATCH(orderHistory[customer],$D$9,0)*MATCH(orderHistory[status],$D$11,0)*MATCH(orderHistory[order_type],$D$13,0)),MATCH(ROW(orderHistory[customer]),ROW(orderHistory[customer])),""),ROWS($A$15:A62)+$B$3))))),"")</f>
        <v/>
      </c>
      <c r="N57" s="386" t="str">
        <f t="array" ref="N57">IFERROR(IF($D$9="",IF($D$11="",IF($D$13="",INDEX(orderHistory[order_type],SMALL(MATCH(ROW(orderHistory[customer]),ROW(orderHistory[customer])),ROWS($A$15:A62)+$B$3)),INDEX(orderHistory[order_type],SMALL(IF(ISNUMBER(MATCH(orderHistory[order_type],$D$13,0)),MATCH(ROW(orderHistory[customer]),ROW(orderHistory[customer])),""),ROWS($A$15:A62)+$B$3))),IF($D$13="",INDEX(orderHistory[order_type],SMALL(IF(ISNUMBER(MATCH(orderHistory[status],$D$11,0)),MATCH(ROW(orderHistory[customer]),ROW(orderHistory[customer])),""),ROWS($A$15:A62)+$B$3)),INDEX(orderHistory[order_type],SMALL(IF(ISNUMBER(MATCH(orderHistory[status],$D$11,0)*MATCH(orderHistory[order_type],$D$13,0)),MATCH(ROW(orderHistory[customer]),ROW(orderHistory[customer])),""),ROWS($A$15:A62)+$B$3)))),IF($D$11="",IF($D$13="",INDEX(orderHistory[order_type],SMALL(IF(ISNUMBER(MATCH(orderHistory[customer],$D$9,0)),MATCH(ROW(orderHistory[customer]),ROW(orderHistory[customer])),""),ROWS($A$15:A62)+$B$3)),INDEX(orderHistory[order_type],SMALL(IF(ISNUMBER(MATCH(orderHistory[customer],$D$9,0)*MATCH(orderHistory[order_type],$D$13,0)),MATCH(ROW(orderHistory[customer]),ROW(orderHistory[customer])),""),ROWS($A$15:A62)+$B$3))),IF($D$13="",INDEX(orderHistory[order_type],SMALL(IF(ISNUMBER(MATCH(orderHistory[customer],$D$9,0)*MATCH(orderHistory[status],$D$11,0)),MATCH(ROW(orderHistory[customer]),ROW(orderHistory[customer])),""),ROWS($A$15:A62)+$B$3)),INDEX(orderHistory[order_type],SMALL(IF(ISNUMBER(MATCH(orderHistory[customer],$D$9,0)*MATCH(orderHistory[status],$D$11,0)*MATCH(orderHistory[order_type],$D$13,0)),MATCH(ROW(orderHistory[customer]),ROW(orderHistory[customer])),""),ROWS($A$15:A62)+$B$3))))),"")</f>
        <v/>
      </c>
      <c r="O57" s="275" t="str">
        <f t="array" ref="O57">IFERROR(IF($D$9="",IF($D$11="",IF($D$13="",INDEX(orderHistory[order_date],SMALL(MATCH(ROW(orderHistory[customer]),ROW(orderHistory[customer])),ROWS($A$15:A62)+$B$3)),INDEX(orderHistory[order_date],SMALL(IF(ISNUMBER(MATCH(orderHistory[order_type],$D$13,0)),MATCH(ROW(orderHistory[customer]),ROW(orderHistory[customer])),""),ROWS($A$15:A62)+$B$3))),IF($D$13="",INDEX(orderHistory[order_date],SMALL(IF(ISNUMBER(MATCH(orderHistory[status],$D$11,0)),MATCH(ROW(orderHistory[customer]),ROW(orderHistory[customer])),""),ROWS($A$15:A62)+$B$3)),INDEX(orderHistory[order_date],SMALL(IF(ISNUMBER(MATCH(orderHistory[status],$D$11,0)*MATCH(orderHistory[order_type],$D$13,0)),MATCH(ROW(orderHistory[customer]),ROW(orderHistory[customer])),""),ROWS($A$15:A62)+$B$3)))),IF($D$11="",IF($D$13="",INDEX(orderHistory[order_date],SMALL(IF(ISNUMBER(MATCH(orderHistory[customer],$D$9,0)),MATCH(ROW(orderHistory[customer]),ROW(orderHistory[customer])),""),ROWS($A$15:A62)+$B$3)),INDEX(orderHistory[order_date],SMALL(IF(ISNUMBER(MATCH(orderHistory[customer],$D$9,0)*MATCH(orderHistory[order_type],$D$13,0)),MATCH(ROW(orderHistory[customer]),ROW(orderHistory[customer])),""),ROWS($A$15:A62)+$B$3))),IF($D$13="",INDEX(orderHistory[order_date],SMALL(IF(ISNUMBER(MATCH(orderHistory[customer],$D$9,0)*MATCH(orderHistory[status],$D$11,0)),MATCH(ROW(orderHistory[customer]),ROW(orderHistory[customer])),""),ROWS($A$15:A62)+$B$3)),INDEX(orderHistory[order_date],SMALL(IF(ISNUMBER(MATCH(orderHistory[customer],$D$9,0)*MATCH(orderHistory[status],$D$11,0)*MATCH(orderHistory[order_type],$D$13,0)),MATCH(ROW(orderHistory[customer]),ROW(orderHistory[customer])),""),ROWS($A$15:A62)+$B$3))))),"")</f>
        <v/>
      </c>
      <c r="P57" s="379" t="str">
        <f t="array" ref="P57">IF(IFERROR(IF($D$9="",IF($D$11="",IF($D$13="",INDEX(orderHistory[invoice_no],SMALL(MATCH(ROW(orderHistory[customer]),ROW(orderHistory[customer])),ROWS($A$15:A62)+$B$3)),INDEX(orderHistory[invoice_no],SMALL(IF(ISNUMBER(MATCH(orderHistory[order_type],$D$13,0)),MATCH(ROW(orderHistory[customer]),ROW(orderHistory[customer])),""),ROWS($A$15:A62)+$B$3))),IF($D$13="",INDEX(orderHistory[invoice_no],SMALL(IF(ISNUMBER(MATCH(orderHistory[status],$D$11,0)),MATCH(ROW(orderHistory[customer]),ROW(orderHistory[customer])),""),ROWS($A$15:A62)+$B$3)),INDEX(orderHistory[invoice_no],SMALL(IF(ISNUMBER(MATCH(orderHistory[status],$D$11,0)*MATCH(orderHistory[order_type],$D$13,0)),MATCH(ROW(orderHistory[customer]),ROW(orderHistory[customer])),""),ROWS($A$15:A62)+$B$3)))),IF($D$11="",IF($D$13="",INDEX(orderHistory[invoice_no],SMALL(IF(ISNUMBER(MATCH(orderHistory[customer],$D$9,0)),MATCH(ROW(orderHistory[customer]),ROW(orderHistory[customer])),""),ROWS($A$15:A62)+$B$3)),INDEX(orderHistory[invoice_no],SMALL(IF(ISNUMBER(MATCH(orderHistory[customer],$D$9,0)*MATCH(orderHistory[order_type],$D$13,0)),MATCH(ROW(orderHistory[customer]),ROW(orderHistory[customer])),""),ROWS($A$15:A62)+$B$3))),IF($D$13="",INDEX(orderHistory[invoice_no],SMALL(IF(ISNUMBER(MATCH(orderHistory[customer],$D$9,0)*MATCH(orderHistory[status],$D$11,0)),MATCH(ROW(orderHistory[customer]),ROW(orderHistory[customer])),""),ROWS($A$15:A62)+$B$3)),INDEX(orderHistory[invoice_no],SMALL(IF(ISNUMBER(MATCH(orderHistory[customer],$D$9,0)*MATCH(orderHistory[status],$D$11,0)*MATCH(orderHistory[order_type],$D$13,0)),MATCH(ROW(orderHistory[customer]),ROW(orderHistory[customer])),""),ROWS($A$15:A62)+$B$3))))),"")=0,"",IFERROR(IF($D$9="",IF($D$11="",IF($D$13="",INDEX(orderHistory[invoice_no],SMALL(MATCH(ROW(orderHistory[customer]),ROW(orderHistory[customer])),ROWS($A$15:A62)+$B$3)),INDEX(orderHistory[invoice_no],SMALL(IF(ISNUMBER(MATCH(orderHistory[order_type],$D$13,0)),MATCH(ROW(orderHistory[customer]),ROW(orderHistory[customer])),""),ROWS($A$15:A62)+$B$3))),IF($D$13="",INDEX(orderHistory[invoice_no],SMALL(IF(ISNUMBER(MATCH(orderHistory[status],$D$11,0)),MATCH(ROW(orderHistory[customer]),ROW(orderHistory[customer])),""),ROWS($A$15:A62)+$B$3)),INDEX(orderHistory[invoice_no],SMALL(IF(ISNUMBER(MATCH(orderHistory[status],$D$11,0)*MATCH(orderHistory[order_type],$D$13,0)),MATCH(ROW(orderHistory[customer]),ROW(orderHistory[customer])),""),ROWS($A$15:A62)+$B$3)))),IF($D$11="",IF($D$13="",INDEX(orderHistory[invoice_no],SMALL(IF(ISNUMBER(MATCH(orderHistory[customer],$D$9,0)),MATCH(ROW(orderHistory[customer]),ROW(orderHistory[customer])),""),ROWS($A$15:A62)+$B$3)),INDEX(orderHistory[invoice_no],SMALL(IF(ISNUMBER(MATCH(orderHistory[customer],$D$9,0)*MATCH(orderHistory[order_type],$D$13,0)),MATCH(ROW(orderHistory[customer]),ROW(orderHistory[customer])),""),ROWS($A$15:A62)+$B$3))),IF($D$13="",INDEX(orderHistory[invoice_no],SMALL(IF(ISNUMBER(MATCH(orderHistory[customer],$D$9,0)*MATCH(orderHistory[status],$D$11,0)),MATCH(ROW(orderHistory[customer]),ROW(orderHistory[customer])),""),ROWS($A$15:A62)+$B$3)),INDEX(orderHistory[invoice_no],SMALL(IF(ISNUMBER(MATCH(orderHistory[customer],$D$9,0)*MATCH(orderHistory[status],$D$11,0)*MATCH(orderHistory[order_type],$D$13,0)),MATCH(ROW(orderHistory[customer]),ROW(orderHistory[customer])),""),ROWS($A$15:A62)+$B$3))))),""))</f>
        <v/>
      </c>
      <c r="Q57" s="381" t="str">
        <f t="array" ref="Q57">IF(IFERROR(IF($D$9="",IF($D$11="",IF($D$13="",INDEX(orderHistory[invoice_date],SMALL(MATCH(ROW(orderHistory[customer]),ROW(orderHistory[customer])),ROWS($A$15:A62)+$B$3)),INDEX(orderHistory[invoice_date],SMALL(IF(ISNUMBER(MATCH(orderHistory[order_type],$D$13,0)),MATCH(ROW(orderHistory[customer]),ROW(orderHistory[customer])),""),ROWS($A$15:A62)+$B$3))),IF($D$13="",INDEX(orderHistory[invoice_date],SMALL(IF(ISNUMBER(MATCH(orderHistory[status],$D$11,0)),MATCH(ROW(orderHistory[customer]),ROW(orderHistory[customer])),""),ROWS($A$15:A62)+$B$3)),INDEX(orderHistory[invoice_date],SMALL(IF(ISNUMBER(MATCH(orderHistory[status],$D$11,0)*MATCH(orderHistory[order_type],$D$13,0)),MATCH(ROW(orderHistory[customer]),ROW(orderHistory[customer])),""),ROWS($A$15:A62)+$B$3)))),IF($D$11="",IF($D$13="",INDEX(orderHistory[invoice_date],SMALL(IF(ISNUMBER(MATCH(orderHistory[customer],$D$9,0)),MATCH(ROW(orderHistory[customer]),ROW(orderHistory[customer])),""),ROWS($A$15:A62)+$B$3)),INDEX(orderHistory[invoice_date],SMALL(IF(ISNUMBER(MATCH(orderHistory[customer],$D$9,0)*MATCH(orderHistory[order_type],$D$13,0)),MATCH(ROW(orderHistory[customer]),ROW(orderHistory[customer])),""),ROWS($A$15:A62)+$B$3))),IF($D$13="",INDEX(orderHistory[invoice_date],SMALL(IF(ISNUMBER(MATCH(orderHistory[customer],$D$9,0)*MATCH(orderHistory[status],$D$11,0)),MATCH(ROW(orderHistory[customer]),ROW(orderHistory[customer])),""),ROWS($A$15:A62)+$B$3)),INDEX(orderHistory[invoice_date],SMALL(IF(ISNUMBER(MATCH(orderHistory[customer],$D$9,0)*MATCH(orderHistory[status],$D$11,0)*MATCH(orderHistory[order_type],$D$13,0)),MATCH(ROW(orderHistory[customer]),ROW(orderHistory[customer])),""),ROWS($A$15:A62)+$B$3))))),"")=0,"",IFERROR(IF($D$9="",IF($D$11="",IF($D$13="",INDEX(orderHistory[invoice_date],SMALL(MATCH(ROW(orderHistory[customer]),ROW(orderHistory[customer])),ROWS($A$15:A62)+$B$3)),INDEX(orderHistory[invoice_date],SMALL(IF(ISNUMBER(MATCH(orderHistory[order_type],$D$13,0)),MATCH(ROW(orderHistory[customer]),ROW(orderHistory[customer])),""),ROWS($A$15:A62)+$B$3))),IF($D$13="",INDEX(orderHistory[invoice_date],SMALL(IF(ISNUMBER(MATCH(orderHistory[status],$D$11,0)),MATCH(ROW(orderHistory[customer]),ROW(orderHistory[customer])),""),ROWS($A$15:A62)+$B$3)),INDEX(orderHistory[invoice_date],SMALL(IF(ISNUMBER(MATCH(orderHistory[status],$D$11,0)*MATCH(orderHistory[order_type],$D$13,0)),MATCH(ROW(orderHistory[customer]),ROW(orderHistory[customer])),""),ROWS($A$15:A62)+$B$3)))),IF($D$11="",IF($D$13="",INDEX(orderHistory[invoice_date],SMALL(IF(ISNUMBER(MATCH(orderHistory[customer],$D$9,0)),MATCH(ROW(orderHistory[customer]),ROW(orderHistory[customer])),""),ROWS($A$15:A62)+$B$3)),INDEX(orderHistory[invoice_date],SMALL(IF(ISNUMBER(MATCH(orderHistory[customer],$D$9,0)*MATCH(orderHistory[order_type],$D$13,0)),MATCH(ROW(orderHistory[customer]),ROW(orderHistory[customer])),""),ROWS($A$15:A62)+$B$3))),IF($D$13="",INDEX(orderHistory[invoice_date],SMALL(IF(ISNUMBER(MATCH(orderHistory[customer],$D$9,0)*MATCH(orderHistory[status],$D$11,0)),MATCH(ROW(orderHistory[customer]),ROW(orderHistory[customer])),""),ROWS($A$15:A62)+$B$3)),INDEX(orderHistory[invoice_date],SMALL(IF(ISNUMBER(MATCH(orderHistory[customer],$D$9,0)*MATCH(orderHistory[status],$D$11,0)*MATCH(orderHistory[order_type],$D$13,0)),MATCH(ROW(orderHistory[customer]),ROW(orderHistory[customer])),""),ROWS($A$15:A62)+$B$3))))),""))</f>
        <v/>
      </c>
      <c r="R57" s="377" t="str">
        <f t="array" ref="R57">IFERROR(IF($D$9="",IF($D$11="",IF($D$13="",INDEX(orderHistory[inv_amount],SMALL(MATCH(ROW(orderHistory[customer]),ROW(orderHistory[customer])),ROWS($A$15:A62)+$B$3)),INDEX(orderHistory[inv_amount],SMALL(IF(ISNUMBER(MATCH(orderHistory[order_type],$D$13,0)),MATCH(ROW(orderHistory[customer]),ROW(orderHistory[customer])),""),ROWS($A$15:A62)+$B$3))),IF($D$13="",INDEX(orderHistory[inv_amount],SMALL(IF(ISNUMBER(MATCH(orderHistory[status],$D$11,0)),MATCH(ROW(orderHistory[customer]),ROW(orderHistory[customer])),""),ROWS($A$15:A62)+$B$3)),INDEX(orderHistory[inv_amount],SMALL(IF(ISNUMBER(MATCH(orderHistory[status],$D$11,0)*MATCH(orderHistory[order_type],$D$13,0)),MATCH(ROW(orderHistory[customer]),ROW(orderHistory[customer])),""),ROWS($A$15:A62)+$B$3)))),IF($D$11="",IF($D$13="",INDEX(orderHistory[inv_amount],SMALL(IF(ISNUMBER(MATCH(orderHistory[customer],$D$9,0)),MATCH(ROW(orderHistory[customer]),ROW(orderHistory[customer])),""),ROWS($A$15:A62)+$B$3)),INDEX(orderHistory[inv_amount],SMALL(IF(ISNUMBER(MATCH(orderHistory[customer],$D$9,0)*MATCH(orderHistory[order_type],$D$13,0)),MATCH(ROW(orderHistory[customer]),ROW(orderHistory[customer])),""),ROWS($A$15:A62)+$B$3))),IF($D$13="",INDEX(orderHistory[inv_amount],SMALL(IF(ISNUMBER(MATCH(orderHistory[customer],$D$9,0)*MATCH(orderHistory[status],$D$11,0)),MATCH(ROW(orderHistory[customer]),ROW(orderHistory[customer])),""),ROWS($A$15:A62)+$B$3)),INDEX(orderHistory[inv_amount],SMALL(IF(ISNUMBER(MATCH(orderHistory[customer],$D$9,0)*MATCH(orderHistory[status],$D$11,0)*MATCH(orderHistory[order_type],$D$13,0)),MATCH(ROW(orderHistory[customer]),ROW(orderHistory[customer])),""),ROWS($A$15:A62)+$B$3))))),"")</f>
        <v/>
      </c>
      <c r="S57" s="383" t="str">
        <f t="shared" si="1"/>
        <v/>
      </c>
      <c r="T57" s="385" t="str">
        <f t="array" ref="T57">IFERROR(IF($D$9="",IF($D$11="",IF($D$13="",INDEX(orderHistory[payed],SMALL(MATCH(ROW(orderHistory[customer]),ROW(orderHistory[customer])),ROWS($A$15:A62)+$B$3)),INDEX(orderHistory[payed],SMALL(IF(ISNUMBER(MATCH(orderHistory[order_type],$D$13,0)),MATCH(ROW(orderHistory[customer]),ROW(orderHistory[customer])),""),ROWS($A$15:A62)+$B$3))),IF($D$13="",INDEX(orderHistory[payed],SMALL(IF(ISNUMBER(MATCH(orderHistory[status],$D$11,0)),MATCH(ROW(orderHistory[customer]),ROW(orderHistory[customer])),""),ROWS($A$15:A62)+$B$3)),INDEX(orderHistory[payed],SMALL(IF(ISNUMBER(MATCH(orderHistory[status],$D$11,0)*MATCH(orderHistory[order_type],$D$13,0)),MATCH(ROW(orderHistory[customer]),ROW(orderHistory[customer])),""),ROWS($A$15:A62)+$B$3)))),IF($D$11="",IF($D$13="",INDEX(orderHistory[payed],SMALL(IF(ISNUMBER(MATCH(orderHistory[customer],$D$9,0)),MATCH(ROW(orderHistory[customer]),ROW(orderHistory[customer])),""),ROWS($A$15:A62)+$B$3)),INDEX(orderHistory[payed],SMALL(IF(ISNUMBER(MATCH(orderHistory[customer],$D$9,0)*MATCH(orderHistory[order_type],$D$13,0)),MATCH(ROW(orderHistory[customer]),ROW(orderHistory[customer])),""),ROWS($A$15:A62)+$B$3))),IF($D$13="",INDEX(orderHistory[payed],SMALL(IF(ISNUMBER(MATCH(orderHistory[customer],$D$9,0)*MATCH(orderHistory[status],$D$11,0)),MATCH(ROW(orderHistory[customer]),ROW(orderHistory[customer])),""),ROWS($A$15:A62)+$B$3)),INDEX(orderHistory[payed],SMALL(IF(ISNUMBER(MATCH(orderHistory[customer],$D$9,0)*MATCH(orderHistory[status],$D$11,0)*MATCH(orderHistory[order_type],$D$13,0)),MATCH(ROW(orderHistory[customer]),ROW(orderHistory[customer])),""),ROWS($A$15:A62)+$B$3))))),"")</f>
        <v/>
      </c>
      <c r="U57" s="386" t="str">
        <f t="array" ref="U57">IFERROR(IF($D$9="",IF($D$11="",IF($D$13="",INDEX(orderHistory[shipping_method],SMALL(MATCH(ROW(orderHistory[customer]),ROW(orderHistory[customer])),ROWS($A$15:A62)+$B$3)),INDEX(orderHistory[shipping_method],SMALL(IF(ISNUMBER(MATCH(orderHistory[order_type],$D$13,0)),MATCH(ROW(orderHistory[customer]),ROW(orderHistory[customer])),""),ROWS($A$15:A62)+$B$3))),IF($D$13="",INDEX(orderHistory[shipping_method],SMALL(IF(ISNUMBER(MATCH(orderHistory[status],$D$11,0)),MATCH(ROW(orderHistory[customer]),ROW(orderHistory[customer])),""),ROWS($A$15:A62)+$B$3)),INDEX(orderHistory[shipping_method],SMALL(IF(ISNUMBER(MATCH(orderHistory[status],$D$11,0)*MATCH(orderHistory[order_type],$D$13,0)),MATCH(ROW(orderHistory[customer]),ROW(orderHistory[customer])),""),ROWS($A$15:A62)+$B$3)))),IF($D$11="",IF($D$13="",INDEX(orderHistory[shipping_method],SMALL(IF(ISNUMBER(MATCH(orderHistory[customer],$D$9,0)),MATCH(ROW(orderHistory[customer]),ROW(orderHistory[customer])),""),ROWS($A$15:A62)+$B$3)),INDEX(orderHistory[shipping_method],SMALL(IF(ISNUMBER(MATCH(orderHistory[customer],$D$9,0)*MATCH(orderHistory[order_type],$D$13,0)),MATCH(ROW(orderHistory[customer]),ROW(orderHistory[customer])),""),ROWS($A$15:A62)+$B$3))),IF($D$13="",INDEX(orderHistory[shipping_method],SMALL(IF(ISNUMBER(MATCH(orderHistory[customer],$D$9,0)*MATCH(orderHistory[status],$D$11,0)),MATCH(ROW(orderHistory[customer]),ROW(orderHistory[customer])),""),ROWS($A$15:A62)+$B$3)),INDEX(orderHistory[shipping_method],SMALL(IF(ISNUMBER(MATCH(orderHistory[customer],$D$9,0)*MATCH(orderHistory[status],$D$11,0)*MATCH(orderHistory[order_type],$D$13,0)),MATCH(ROW(orderHistory[customer]),ROW(orderHistory[customer])),""),ROWS($A$15:A62)+$B$3))))),"")</f>
        <v/>
      </c>
      <c r="V57" s="387" t="str">
        <f t="array" ref="V57">IFERROR(IF($D$9="",IF($D$11="",IF($D$13="",INDEX(orderHistory[status],SMALL(MATCH(ROW(orderHistory[customer]),ROW(orderHistory[customer])),ROWS($A$15:A62)+$B$3)),INDEX(orderHistory[status],SMALL(IF(ISNUMBER(MATCH(orderHistory[order_type],$D$13,0)),MATCH(ROW(orderHistory[customer]),ROW(orderHistory[customer])),""),ROWS($A$15:A62)+$B$3))),IF($D$13="",INDEX(orderHistory[status],SMALL(IF(ISNUMBER(MATCH(orderHistory[status],$D$11,0)),MATCH(ROW(orderHistory[customer]),ROW(orderHistory[customer])),""),ROWS($A$15:A62)+$B$3)),INDEX(orderHistory[status],SMALL(IF(ISNUMBER(MATCH(orderHistory[status],$D$11,0)*MATCH(orderHistory[order_type],$D$13,0)),MATCH(ROW(orderHistory[customer]),ROW(orderHistory[customer])),""),ROWS($A$15:A62)+$B$3)))),IF($D$11="",IF($D$13="",INDEX(orderHistory[status],SMALL(IF(ISNUMBER(MATCH(orderHistory[customer],$D$9,0)),MATCH(ROW(orderHistory[customer]),ROW(orderHistory[customer])),""),ROWS($A$15:A62)+$B$3)),INDEX(orderHistory[status],SMALL(IF(ISNUMBER(MATCH(orderHistory[customer],$D$9,0)*MATCH(orderHistory[order_type],$D$13,0)),MATCH(ROW(orderHistory[customer]),ROW(orderHistory[customer])),""),ROWS($A$15:A62)+$B$3))),IF($D$13="",INDEX(orderHistory[status],SMALL(IF(ISNUMBER(MATCH(orderHistory[customer],$D$9,0)*MATCH(orderHistory[status],$D$11,0)),MATCH(ROW(orderHistory[customer]),ROW(orderHistory[customer])),""),ROWS($A$15:A62)+$B$3)),INDEX(orderHistory[status],SMALL(IF(ISNUMBER(MATCH(orderHistory[customer],$D$9,0)*MATCH(orderHistory[status],$D$11,0)*MATCH(orderHistory[order_type],$D$13,0)),MATCH(ROW(orderHistory[customer]),ROW(orderHistory[customer])),""),ROWS($A$15:A62)+$B$3))))),"")</f>
        <v/>
      </c>
      <c r="AQ57" s="191"/>
      <c r="AR57" s="191" t="s">
        <v>743</v>
      </c>
      <c r="BG57"/>
      <c r="BK57" s="146"/>
      <c r="BL57" s="147"/>
      <c r="BM57" s="148"/>
      <c r="BN57" s="147"/>
      <c r="BO57" s="148"/>
      <c r="BZ57" s="305"/>
      <c r="CA57" s="270" t="str">
        <f>IF(BZ57="","",VLOOKUP(BZ57,bhpc_data[],7,FALSE))</f>
        <v/>
      </c>
      <c r="CB57" s="296"/>
      <c r="CC57" s="642"/>
      <c r="CD57" s="297"/>
      <c r="CE57" s="645"/>
      <c r="CF57" s="298"/>
      <c r="CG57" s="301" t="str">
        <f>IFERROR(ROUNDUP(CB57/VLOOKUP(BZ57,bhpc_data[],9,FALSE),0)+ROUNDUP(CD57/VLOOKUP(BZ57,bhpc_data[],9,FALSE),0),"")</f>
        <v/>
      </c>
      <c r="CH57" s="302" t="str">
        <f>IFERROR(ROUNDUP(CD57/VLOOKUP(BZ57,bhpc_data[],9,FALSE),0),"")</f>
        <v/>
      </c>
      <c r="CI57" s="302" t="str">
        <f>IFERROR(ROUNDUP(CF57/VLOOKUP(BZ57,bhpc_data[],9,FALSE),0),"")</f>
        <v/>
      </c>
      <c r="CJ57" s="302" t="str">
        <f>IFERROR(((CB57+CD57+CF57)/VLOOKUP(BZ57,bhpc_data[],9,FALSE))*VLOOKUP(BZ57,bhpc_data[],17,FALSE),"")</f>
        <v/>
      </c>
      <c r="CK57" s="302" t="str">
        <f>IFERROR(((CB57+CD57+CF57)/VLOOKUP(BZ57,bhpc_data[],9,FALSE))*VLOOKUP(BZ57,bhpc_data[],18,FALSE),"")</f>
        <v/>
      </c>
      <c r="CL57" s="346" t="str">
        <f>IFERROR((CB57+CD57)/VLOOKUP(BZ57,bhpc_data[],9,FALSE)*VLOOKUP(BZ57,bhpc_data[],14,FALSE)*VLOOKUP(BZ57,bhpc_data[],15,FALSE)*VLOOKUP(BZ57,bhpc_data[],16,FALSE)/1000000000,"")</f>
        <v/>
      </c>
      <c r="CM57" s="409" t="str">
        <f>IFERROR(VLOOKUP(BZ57,bhpc_data[],2,FALSE),"")</f>
        <v/>
      </c>
      <c r="CN57" s="409" t="str">
        <f>IFERROR(VLOOKUP(BZ57,bhpc_data[],19,FALSE),"")</f>
        <v/>
      </c>
      <c r="CO57" s="653" t="str">
        <f>IFERROR(VLOOKUP(BZ57,bhpc_data[],6,FALSE),"")</f>
        <v/>
      </c>
      <c r="CP57" s="654" t="str">
        <f>IFERROR(VLOOKUP(BZ57,inventory[],4,FALSE),"")</f>
        <v/>
      </c>
      <c r="CQ57" s="651" t="str">
        <f>IFERROR(IF(BZ57="","",IF($BX$15="SALE",VLOOKUP(BZ57,inventory[],5,FALSE),IF($BX$15="SAMPLING",VLOOKUP(BZ57,inventory[],5,FALSE),""))),"")</f>
        <v/>
      </c>
      <c r="CR57" s="652" t="str">
        <f>IFERROR(IF(BZ57="","",(CB57+CD57+CF57)*CQ57),"")</f>
        <v/>
      </c>
      <c r="CS57" s="557" t="str">
        <f>IF(BZ57="","",CB57*CC57+CD57*CE57)</f>
        <v/>
      </c>
      <c r="DA57" s="540" t="str">
        <f>IFERROR(VLOOKUP(BZ57,bhpc_data[],22,FALSE),"")</f>
        <v/>
      </c>
      <c r="EE57" s="454" t="s">
        <v>140</v>
      </c>
      <c r="EF57" s="447" t="str">
        <f>VLOOKUP(EE57,bhpc_data[],7,FALSE)</f>
        <v>BHPC PRESTIGE MYSTIQUE 100ML EDP WOMEN</v>
      </c>
      <c r="EG57" s="555">
        <f>IFERROR(VLOOKUP(EE57,inventory[],4,FALSE),0)</f>
        <v>1979</v>
      </c>
      <c r="EH57" s="555">
        <f>IFERROR(VLOOKUP(warehouse[[#This Row],[SKU]],$EQ$10:$ES$38,3,FALSE),0)</f>
        <v>0</v>
      </c>
      <c r="EI57" s="555">
        <f>IFERROR(VLOOKUP(warehouse[[#This Row],[SKU]],$EM$10:$EO$61,3,FALSE),0)</f>
        <v>1528</v>
      </c>
      <c r="EJ57" s="555">
        <f>warehouse[[#This Row],[T-1]]+warehouse[[#This Row],[SUPPLY]]-warehouse[[#This Row],[SALE + SAMPLING]]</f>
        <v>451</v>
      </c>
      <c r="EK57" s="449"/>
      <c r="EM57" s="74" t="s">
        <v>193</v>
      </c>
      <c r="EN57" s="74" t="s">
        <v>194</v>
      </c>
      <c r="EO57" s="431">
        <v>151</v>
      </c>
    </row>
    <row r="58" spans="10:145" ht="15" customHeight="1">
      <c r="L58" s="274" t="str">
        <f t="array" ref="L58">IFERROR(IF($D$9="",IF($D$11="",IF($D$13="",INDEX(orderHistory[customer],SMALL(MATCH(ROW(orderHistory[customer]),ROW(orderHistory[customer])),ROWS($A$15:A63)+$B$3)),INDEX(orderHistory[customer],SMALL(IF(ISNUMBER(MATCH(orderHistory[order_type],$D$13,0)),MATCH(ROW(orderHistory[customer]),ROW(orderHistory[customer])),""),ROWS($A$15:A63)+$B$3))),IF($D$13="",INDEX(orderHistory[customer],SMALL(IF(ISNUMBER(MATCH(orderHistory[status],$D$11,0)),MATCH(ROW(orderHistory[customer]),ROW(orderHistory[customer])),""),ROWS($A$15:A63)+$B$3)),INDEX(orderHistory[customer],SMALL(IF(ISNUMBER(MATCH(orderHistory[status],$D$11,0)*MATCH(orderHistory[order_type],$D$13,0)),MATCH(ROW(orderHistory[customer]),ROW(orderHistory[customer])),""),ROWS($A$15:A63)+$B$3)))),IF($D$11="",IF($D$13="",INDEX(orderHistory[customer],SMALL(IF(ISNUMBER(MATCH(orderHistory[customer],$D$9,0)),MATCH(ROW(orderHistory[customer]),ROW(orderHistory[customer])),""),ROWS($A$15:A63)+$B$3)),INDEX(orderHistory[customer],SMALL(IF(ISNUMBER(MATCH(orderHistory[customer],$D$9,0)*MATCH(orderHistory[order_type],$D$13,0)),MATCH(ROW(orderHistory[customer]),ROW(orderHistory[customer])),""),ROWS($A$15:A63)+$B$3))),IF($D$13="",INDEX(orderHistory[customer],SMALL(IF(ISNUMBER(MATCH(orderHistory[customer],$D$9,0)*MATCH(orderHistory[status],$D$11,0)),MATCH(ROW(orderHistory[customer]),ROW(orderHistory[customer])),""),ROWS($A$15:A63)+$B$3)),INDEX(orderHistory[customer],SMALL(IF(ISNUMBER(MATCH(orderHistory[customer],$D$9,0)*MATCH(orderHistory[status],$D$11,0)*MATCH(orderHistory[order_type],$D$13,0)),MATCH(ROW(orderHistory[customer]),ROW(orderHistory[customer])),""),ROWS($A$15:A63)+$B$3))))),"")</f>
        <v/>
      </c>
      <c r="M58" s="391" t="str">
        <f t="array" ref="M58">IFERROR(IF($D$9="",IF($D$11="",IF($D$13="",INDEX(orderHistory[order_no],SMALL(MATCH(ROW(orderHistory[customer]),ROW(orderHistory[customer])),ROWS($A$15:A63)+$B$3)),INDEX(orderHistory[order_no],SMALL(IF(ISNUMBER(MATCH(orderHistory[order_type],$D$13,0)),MATCH(ROW(orderHistory[customer]),ROW(orderHistory[customer])),""),ROWS($A$15:A63)+$B$3))),IF($D$13="",INDEX(orderHistory[order_no],SMALL(IF(ISNUMBER(MATCH(orderHistory[status],$D$11,0)),MATCH(ROW(orderHistory[customer]),ROW(orderHistory[customer])),""),ROWS($A$15:A63)+$B$3)),INDEX(orderHistory[order_no],SMALL(IF(ISNUMBER(MATCH(orderHistory[status],$D$11,0)*MATCH(orderHistory[order_type],$D$13,0)),MATCH(ROW(orderHistory[customer]),ROW(orderHistory[customer])),""),ROWS($A$15:A63)+$B$3)))),IF($D$11="",IF($D$13="",INDEX(orderHistory[order_no],SMALL(IF(ISNUMBER(MATCH(orderHistory[customer],$D$9,0)),MATCH(ROW(orderHistory[customer]),ROW(orderHistory[customer])),""),ROWS($A$15:A63)+$B$3)),INDEX(orderHistory[order_no],SMALL(IF(ISNUMBER(MATCH(orderHistory[customer],$D$9,0)*MATCH(orderHistory[order_type],$D$13,0)),MATCH(ROW(orderHistory[customer]),ROW(orderHistory[customer])),""),ROWS($A$15:A63)+$B$3))),IF($D$13="",INDEX(orderHistory[order_no],SMALL(IF(ISNUMBER(MATCH(orderHistory[customer],$D$9,0)*MATCH(orderHistory[status],$D$11,0)),MATCH(ROW(orderHistory[customer]),ROW(orderHistory[customer])),""),ROWS($A$15:A63)+$B$3)),INDEX(orderHistory[order_no],SMALL(IF(ISNUMBER(MATCH(orderHistory[customer],$D$9,0)*MATCH(orderHistory[status],$D$11,0)*MATCH(orderHistory[order_type],$D$13,0)),MATCH(ROW(orderHistory[customer]),ROW(orderHistory[customer])),""),ROWS($A$15:A63)+$B$3))))),"")</f>
        <v/>
      </c>
      <c r="N58" s="386" t="str">
        <f t="array" ref="N58">IFERROR(IF($D$9="",IF($D$11="",IF($D$13="",INDEX(orderHistory[order_type],SMALL(MATCH(ROW(orderHistory[customer]),ROW(orderHistory[customer])),ROWS($A$15:A63)+$B$3)),INDEX(orderHistory[order_type],SMALL(IF(ISNUMBER(MATCH(orderHistory[order_type],$D$13,0)),MATCH(ROW(orderHistory[customer]),ROW(orderHistory[customer])),""),ROWS($A$15:A63)+$B$3))),IF($D$13="",INDEX(orderHistory[order_type],SMALL(IF(ISNUMBER(MATCH(orderHistory[status],$D$11,0)),MATCH(ROW(orderHistory[customer]),ROW(orderHistory[customer])),""),ROWS($A$15:A63)+$B$3)),INDEX(orderHistory[order_type],SMALL(IF(ISNUMBER(MATCH(orderHistory[status],$D$11,0)*MATCH(orderHistory[order_type],$D$13,0)),MATCH(ROW(orderHistory[customer]),ROW(orderHistory[customer])),""),ROWS($A$15:A63)+$B$3)))),IF($D$11="",IF($D$13="",INDEX(orderHistory[order_type],SMALL(IF(ISNUMBER(MATCH(orderHistory[customer],$D$9,0)),MATCH(ROW(orderHistory[customer]),ROW(orderHistory[customer])),""),ROWS($A$15:A63)+$B$3)),INDEX(orderHistory[order_type],SMALL(IF(ISNUMBER(MATCH(orderHistory[customer],$D$9,0)*MATCH(orderHistory[order_type],$D$13,0)),MATCH(ROW(orderHistory[customer]),ROW(orderHistory[customer])),""),ROWS($A$15:A63)+$B$3))),IF($D$13="",INDEX(orderHistory[order_type],SMALL(IF(ISNUMBER(MATCH(orderHistory[customer],$D$9,0)*MATCH(orderHistory[status],$D$11,0)),MATCH(ROW(orderHistory[customer]),ROW(orderHistory[customer])),""),ROWS($A$15:A63)+$B$3)),INDEX(orderHistory[order_type],SMALL(IF(ISNUMBER(MATCH(orderHistory[customer],$D$9,0)*MATCH(orderHistory[status],$D$11,0)*MATCH(orderHistory[order_type],$D$13,0)),MATCH(ROW(orderHistory[customer]),ROW(orderHistory[customer])),""),ROWS($A$15:A63)+$B$3))))),"")</f>
        <v/>
      </c>
      <c r="O58" s="275" t="str">
        <f t="array" ref="O58">IFERROR(IF($D$9="",IF($D$11="",IF($D$13="",INDEX(orderHistory[order_date],SMALL(MATCH(ROW(orderHistory[customer]),ROW(orderHistory[customer])),ROWS($A$15:A63)+$B$3)),INDEX(orderHistory[order_date],SMALL(IF(ISNUMBER(MATCH(orderHistory[order_type],$D$13,0)),MATCH(ROW(orderHistory[customer]),ROW(orderHistory[customer])),""),ROWS($A$15:A63)+$B$3))),IF($D$13="",INDEX(orderHistory[order_date],SMALL(IF(ISNUMBER(MATCH(orderHistory[status],$D$11,0)),MATCH(ROW(orderHistory[customer]),ROW(orderHistory[customer])),""),ROWS($A$15:A63)+$B$3)),INDEX(orderHistory[order_date],SMALL(IF(ISNUMBER(MATCH(orderHistory[status],$D$11,0)*MATCH(orderHistory[order_type],$D$13,0)),MATCH(ROW(orderHistory[customer]),ROW(orderHistory[customer])),""),ROWS($A$15:A63)+$B$3)))),IF($D$11="",IF($D$13="",INDEX(orderHistory[order_date],SMALL(IF(ISNUMBER(MATCH(orderHistory[customer],$D$9,0)),MATCH(ROW(orderHistory[customer]),ROW(orderHistory[customer])),""),ROWS($A$15:A63)+$B$3)),INDEX(orderHistory[order_date],SMALL(IF(ISNUMBER(MATCH(orderHistory[customer],$D$9,0)*MATCH(orderHistory[order_type],$D$13,0)),MATCH(ROW(orderHistory[customer]),ROW(orderHistory[customer])),""),ROWS($A$15:A63)+$B$3))),IF($D$13="",INDEX(orderHistory[order_date],SMALL(IF(ISNUMBER(MATCH(orderHistory[customer],$D$9,0)*MATCH(orderHistory[status],$D$11,0)),MATCH(ROW(orderHistory[customer]),ROW(orderHistory[customer])),""),ROWS($A$15:A63)+$B$3)),INDEX(orderHistory[order_date],SMALL(IF(ISNUMBER(MATCH(orderHistory[customer],$D$9,0)*MATCH(orderHistory[status],$D$11,0)*MATCH(orderHistory[order_type],$D$13,0)),MATCH(ROW(orderHistory[customer]),ROW(orderHistory[customer])),""),ROWS($A$15:A63)+$B$3))))),"")</f>
        <v/>
      </c>
      <c r="P58" s="379" t="str">
        <f t="array" ref="P58">IF(IFERROR(IF($D$9="",IF($D$11="",IF($D$13="",INDEX(orderHistory[invoice_no],SMALL(MATCH(ROW(orderHistory[customer]),ROW(orderHistory[customer])),ROWS($A$15:A63)+$B$3)),INDEX(orderHistory[invoice_no],SMALL(IF(ISNUMBER(MATCH(orderHistory[order_type],$D$13,0)),MATCH(ROW(orderHistory[customer]),ROW(orderHistory[customer])),""),ROWS($A$15:A63)+$B$3))),IF($D$13="",INDEX(orderHistory[invoice_no],SMALL(IF(ISNUMBER(MATCH(orderHistory[status],$D$11,0)),MATCH(ROW(orderHistory[customer]),ROW(orderHistory[customer])),""),ROWS($A$15:A63)+$B$3)),INDEX(orderHistory[invoice_no],SMALL(IF(ISNUMBER(MATCH(orderHistory[status],$D$11,0)*MATCH(orderHistory[order_type],$D$13,0)),MATCH(ROW(orderHistory[customer]),ROW(orderHistory[customer])),""),ROWS($A$15:A63)+$B$3)))),IF($D$11="",IF($D$13="",INDEX(orderHistory[invoice_no],SMALL(IF(ISNUMBER(MATCH(orderHistory[customer],$D$9,0)),MATCH(ROW(orderHistory[customer]),ROW(orderHistory[customer])),""),ROWS($A$15:A63)+$B$3)),INDEX(orderHistory[invoice_no],SMALL(IF(ISNUMBER(MATCH(orderHistory[customer],$D$9,0)*MATCH(orderHistory[order_type],$D$13,0)),MATCH(ROW(orderHistory[customer]),ROW(orderHistory[customer])),""),ROWS($A$15:A63)+$B$3))),IF($D$13="",INDEX(orderHistory[invoice_no],SMALL(IF(ISNUMBER(MATCH(orderHistory[customer],$D$9,0)*MATCH(orderHistory[status],$D$11,0)),MATCH(ROW(orderHistory[customer]),ROW(orderHistory[customer])),""),ROWS($A$15:A63)+$B$3)),INDEX(orderHistory[invoice_no],SMALL(IF(ISNUMBER(MATCH(orderHistory[customer],$D$9,0)*MATCH(orderHistory[status],$D$11,0)*MATCH(orderHistory[order_type],$D$13,0)),MATCH(ROW(orderHistory[customer]),ROW(orderHistory[customer])),""),ROWS($A$15:A63)+$B$3))))),"")=0,"",IFERROR(IF($D$9="",IF($D$11="",IF($D$13="",INDEX(orderHistory[invoice_no],SMALL(MATCH(ROW(orderHistory[customer]),ROW(orderHistory[customer])),ROWS($A$15:A63)+$B$3)),INDEX(orderHistory[invoice_no],SMALL(IF(ISNUMBER(MATCH(orderHistory[order_type],$D$13,0)),MATCH(ROW(orderHistory[customer]),ROW(orderHistory[customer])),""),ROWS($A$15:A63)+$B$3))),IF($D$13="",INDEX(orderHistory[invoice_no],SMALL(IF(ISNUMBER(MATCH(orderHistory[status],$D$11,0)),MATCH(ROW(orderHistory[customer]),ROW(orderHistory[customer])),""),ROWS($A$15:A63)+$B$3)),INDEX(orderHistory[invoice_no],SMALL(IF(ISNUMBER(MATCH(orderHistory[status],$D$11,0)*MATCH(orderHistory[order_type],$D$13,0)),MATCH(ROW(orderHistory[customer]),ROW(orderHistory[customer])),""),ROWS($A$15:A63)+$B$3)))),IF($D$11="",IF($D$13="",INDEX(orderHistory[invoice_no],SMALL(IF(ISNUMBER(MATCH(orderHistory[customer],$D$9,0)),MATCH(ROW(orderHistory[customer]),ROW(orderHistory[customer])),""),ROWS($A$15:A63)+$B$3)),INDEX(orderHistory[invoice_no],SMALL(IF(ISNUMBER(MATCH(orderHistory[customer],$D$9,0)*MATCH(orderHistory[order_type],$D$13,0)),MATCH(ROW(orderHistory[customer]),ROW(orderHistory[customer])),""),ROWS($A$15:A63)+$B$3))),IF($D$13="",INDEX(orderHistory[invoice_no],SMALL(IF(ISNUMBER(MATCH(orderHistory[customer],$D$9,0)*MATCH(orderHistory[status],$D$11,0)),MATCH(ROW(orderHistory[customer]),ROW(orderHistory[customer])),""),ROWS($A$15:A63)+$B$3)),INDEX(orderHistory[invoice_no],SMALL(IF(ISNUMBER(MATCH(orderHistory[customer],$D$9,0)*MATCH(orderHistory[status],$D$11,0)*MATCH(orderHistory[order_type],$D$13,0)),MATCH(ROW(orderHistory[customer]),ROW(orderHistory[customer])),""),ROWS($A$15:A63)+$B$3))))),""))</f>
        <v/>
      </c>
      <c r="Q58" s="381" t="str">
        <f t="array" ref="Q58">IF(IFERROR(IF($D$9="",IF($D$11="",IF($D$13="",INDEX(orderHistory[invoice_date],SMALL(MATCH(ROW(orderHistory[customer]),ROW(orderHistory[customer])),ROWS($A$15:A63)+$B$3)),INDEX(orderHistory[invoice_date],SMALL(IF(ISNUMBER(MATCH(orderHistory[order_type],$D$13,0)),MATCH(ROW(orderHistory[customer]),ROW(orderHistory[customer])),""),ROWS($A$15:A63)+$B$3))),IF($D$13="",INDEX(orderHistory[invoice_date],SMALL(IF(ISNUMBER(MATCH(orderHistory[status],$D$11,0)),MATCH(ROW(orderHistory[customer]),ROW(orderHistory[customer])),""),ROWS($A$15:A63)+$B$3)),INDEX(orderHistory[invoice_date],SMALL(IF(ISNUMBER(MATCH(orderHistory[status],$D$11,0)*MATCH(orderHistory[order_type],$D$13,0)),MATCH(ROW(orderHistory[customer]),ROW(orderHistory[customer])),""),ROWS($A$15:A63)+$B$3)))),IF($D$11="",IF($D$13="",INDEX(orderHistory[invoice_date],SMALL(IF(ISNUMBER(MATCH(orderHistory[customer],$D$9,0)),MATCH(ROW(orderHistory[customer]),ROW(orderHistory[customer])),""),ROWS($A$15:A63)+$B$3)),INDEX(orderHistory[invoice_date],SMALL(IF(ISNUMBER(MATCH(orderHistory[customer],$D$9,0)*MATCH(orderHistory[order_type],$D$13,0)),MATCH(ROW(orderHistory[customer]),ROW(orderHistory[customer])),""),ROWS($A$15:A63)+$B$3))),IF($D$13="",INDEX(orderHistory[invoice_date],SMALL(IF(ISNUMBER(MATCH(orderHistory[customer],$D$9,0)*MATCH(orderHistory[status],$D$11,0)),MATCH(ROW(orderHistory[customer]),ROW(orderHistory[customer])),""),ROWS($A$15:A63)+$B$3)),INDEX(orderHistory[invoice_date],SMALL(IF(ISNUMBER(MATCH(orderHistory[customer],$D$9,0)*MATCH(orderHistory[status],$D$11,0)*MATCH(orderHistory[order_type],$D$13,0)),MATCH(ROW(orderHistory[customer]),ROW(orderHistory[customer])),""),ROWS($A$15:A63)+$B$3))))),"")=0,"",IFERROR(IF($D$9="",IF($D$11="",IF($D$13="",INDEX(orderHistory[invoice_date],SMALL(MATCH(ROW(orderHistory[customer]),ROW(orderHistory[customer])),ROWS($A$15:A63)+$B$3)),INDEX(orderHistory[invoice_date],SMALL(IF(ISNUMBER(MATCH(orderHistory[order_type],$D$13,0)),MATCH(ROW(orderHistory[customer]),ROW(orderHistory[customer])),""),ROWS($A$15:A63)+$B$3))),IF($D$13="",INDEX(orderHistory[invoice_date],SMALL(IF(ISNUMBER(MATCH(orderHistory[status],$D$11,0)),MATCH(ROW(orderHistory[customer]),ROW(orderHistory[customer])),""),ROWS($A$15:A63)+$B$3)),INDEX(orderHistory[invoice_date],SMALL(IF(ISNUMBER(MATCH(orderHistory[status],$D$11,0)*MATCH(orderHistory[order_type],$D$13,0)),MATCH(ROW(orderHistory[customer]),ROW(orderHistory[customer])),""),ROWS($A$15:A63)+$B$3)))),IF($D$11="",IF($D$13="",INDEX(orderHistory[invoice_date],SMALL(IF(ISNUMBER(MATCH(orderHistory[customer],$D$9,0)),MATCH(ROW(orderHistory[customer]),ROW(orderHistory[customer])),""),ROWS($A$15:A63)+$B$3)),INDEX(orderHistory[invoice_date],SMALL(IF(ISNUMBER(MATCH(orderHistory[customer],$D$9,0)*MATCH(orderHistory[order_type],$D$13,0)),MATCH(ROW(orderHistory[customer]),ROW(orderHistory[customer])),""),ROWS($A$15:A63)+$B$3))),IF($D$13="",INDEX(orderHistory[invoice_date],SMALL(IF(ISNUMBER(MATCH(orderHistory[customer],$D$9,0)*MATCH(orderHistory[status],$D$11,0)),MATCH(ROW(orderHistory[customer]),ROW(orderHistory[customer])),""),ROWS($A$15:A63)+$B$3)),INDEX(orderHistory[invoice_date],SMALL(IF(ISNUMBER(MATCH(orderHistory[customer],$D$9,0)*MATCH(orderHistory[status],$D$11,0)*MATCH(orderHistory[order_type],$D$13,0)),MATCH(ROW(orderHistory[customer]),ROW(orderHistory[customer])),""),ROWS($A$15:A63)+$B$3))))),""))</f>
        <v/>
      </c>
      <c r="R58" s="377" t="str">
        <f t="array" ref="R58">IFERROR(IF($D$9="",IF($D$11="",IF($D$13="",INDEX(orderHistory[inv_amount],SMALL(MATCH(ROW(orderHistory[customer]),ROW(orderHistory[customer])),ROWS($A$15:A63)+$B$3)),INDEX(orderHistory[inv_amount],SMALL(IF(ISNUMBER(MATCH(orderHistory[order_type],$D$13,0)),MATCH(ROW(orderHistory[customer]),ROW(orderHistory[customer])),""),ROWS($A$15:A63)+$B$3))),IF($D$13="",INDEX(orderHistory[inv_amount],SMALL(IF(ISNUMBER(MATCH(orderHistory[status],$D$11,0)),MATCH(ROW(orderHistory[customer]),ROW(orderHistory[customer])),""),ROWS($A$15:A63)+$B$3)),INDEX(orderHistory[inv_amount],SMALL(IF(ISNUMBER(MATCH(orderHistory[status],$D$11,0)*MATCH(orderHistory[order_type],$D$13,0)),MATCH(ROW(orderHistory[customer]),ROW(orderHistory[customer])),""),ROWS($A$15:A63)+$B$3)))),IF($D$11="",IF($D$13="",INDEX(orderHistory[inv_amount],SMALL(IF(ISNUMBER(MATCH(orderHistory[customer],$D$9,0)),MATCH(ROW(orderHistory[customer]),ROW(orderHistory[customer])),""),ROWS($A$15:A63)+$B$3)),INDEX(orderHistory[inv_amount],SMALL(IF(ISNUMBER(MATCH(orderHistory[customer],$D$9,0)*MATCH(orderHistory[order_type],$D$13,0)),MATCH(ROW(orderHistory[customer]),ROW(orderHistory[customer])),""),ROWS($A$15:A63)+$B$3))),IF($D$13="",INDEX(orderHistory[inv_amount],SMALL(IF(ISNUMBER(MATCH(orderHistory[customer],$D$9,0)*MATCH(orderHistory[status],$D$11,0)),MATCH(ROW(orderHistory[customer]),ROW(orderHistory[customer])),""),ROWS($A$15:A63)+$B$3)),INDEX(orderHistory[inv_amount],SMALL(IF(ISNUMBER(MATCH(orderHistory[customer],$D$9,0)*MATCH(orderHistory[status],$D$11,0)*MATCH(orderHistory[order_type],$D$13,0)),MATCH(ROW(orderHistory[customer]),ROW(orderHistory[customer])),""),ROWS($A$15:A63)+$B$3))))),"")</f>
        <v/>
      </c>
      <c r="S58" s="383" t="str">
        <f t="shared" si="1"/>
        <v/>
      </c>
      <c r="T58" s="385" t="str">
        <f t="array" ref="T58">IFERROR(IF($D$9="",IF($D$11="",IF($D$13="",INDEX(orderHistory[payed],SMALL(MATCH(ROW(orderHistory[customer]),ROW(orderHistory[customer])),ROWS($A$15:A63)+$B$3)),INDEX(orderHistory[payed],SMALL(IF(ISNUMBER(MATCH(orderHistory[order_type],$D$13,0)),MATCH(ROW(orderHistory[customer]),ROW(orderHistory[customer])),""),ROWS($A$15:A63)+$B$3))),IF($D$13="",INDEX(orderHistory[payed],SMALL(IF(ISNUMBER(MATCH(orderHistory[status],$D$11,0)),MATCH(ROW(orderHistory[customer]),ROW(orderHistory[customer])),""),ROWS($A$15:A63)+$B$3)),INDEX(orderHistory[payed],SMALL(IF(ISNUMBER(MATCH(orderHistory[status],$D$11,0)*MATCH(orderHistory[order_type],$D$13,0)),MATCH(ROW(orderHistory[customer]),ROW(orderHistory[customer])),""),ROWS($A$15:A63)+$B$3)))),IF($D$11="",IF($D$13="",INDEX(orderHistory[payed],SMALL(IF(ISNUMBER(MATCH(orderHistory[customer],$D$9,0)),MATCH(ROW(orderHistory[customer]),ROW(orderHistory[customer])),""),ROWS($A$15:A63)+$B$3)),INDEX(orderHistory[payed],SMALL(IF(ISNUMBER(MATCH(orderHistory[customer],$D$9,0)*MATCH(orderHistory[order_type],$D$13,0)),MATCH(ROW(orderHistory[customer]),ROW(orderHistory[customer])),""),ROWS($A$15:A63)+$B$3))),IF($D$13="",INDEX(orderHistory[payed],SMALL(IF(ISNUMBER(MATCH(orderHistory[customer],$D$9,0)*MATCH(orderHistory[status],$D$11,0)),MATCH(ROW(orderHistory[customer]),ROW(orderHistory[customer])),""),ROWS($A$15:A63)+$B$3)),INDEX(orderHistory[payed],SMALL(IF(ISNUMBER(MATCH(orderHistory[customer],$D$9,0)*MATCH(orderHistory[status],$D$11,0)*MATCH(orderHistory[order_type],$D$13,0)),MATCH(ROW(orderHistory[customer]),ROW(orderHistory[customer])),""),ROWS($A$15:A63)+$B$3))))),"")</f>
        <v/>
      </c>
      <c r="U58" s="386" t="str">
        <f t="array" ref="U58">IFERROR(IF($D$9="",IF($D$11="",IF($D$13="",INDEX(orderHistory[shipping_method],SMALL(MATCH(ROW(orderHistory[customer]),ROW(orderHistory[customer])),ROWS($A$15:A63)+$B$3)),INDEX(orderHistory[shipping_method],SMALL(IF(ISNUMBER(MATCH(orderHistory[order_type],$D$13,0)),MATCH(ROW(orderHistory[customer]),ROW(orderHistory[customer])),""),ROWS($A$15:A63)+$B$3))),IF($D$13="",INDEX(orderHistory[shipping_method],SMALL(IF(ISNUMBER(MATCH(orderHistory[status],$D$11,0)),MATCH(ROW(orderHistory[customer]),ROW(orderHistory[customer])),""),ROWS($A$15:A63)+$B$3)),INDEX(orderHistory[shipping_method],SMALL(IF(ISNUMBER(MATCH(orderHistory[status],$D$11,0)*MATCH(orderHistory[order_type],$D$13,0)),MATCH(ROW(orderHistory[customer]),ROW(orderHistory[customer])),""),ROWS($A$15:A63)+$B$3)))),IF($D$11="",IF($D$13="",INDEX(orderHistory[shipping_method],SMALL(IF(ISNUMBER(MATCH(orderHistory[customer],$D$9,0)),MATCH(ROW(orderHistory[customer]),ROW(orderHistory[customer])),""),ROWS($A$15:A63)+$B$3)),INDEX(orderHistory[shipping_method],SMALL(IF(ISNUMBER(MATCH(orderHistory[customer],$D$9,0)*MATCH(orderHistory[order_type],$D$13,0)),MATCH(ROW(orderHistory[customer]),ROW(orderHistory[customer])),""),ROWS($A$15:A63)+$B$3))),IF($D$13="",INDEX(orderHistory[shipping_method],SMALL(IF(ISNUMBER(MATCH(orderHistory[customer],$D$9,0)*MATCH(orderHistory[status],$D$11,0)),MATCH(ROW(orderHistory[customer]),ROW(orderHistory[customer])),""),ROWS($A$15:A63)+$B$3)),INDEX(orderHistory[shipping_method],SMALL(IF(ISNUMBER(MATCH(orderHistory[customer],$D$9,0)*MATCH(orderHistory[status],$D$11,0)*MATCH(orderHistory[order_type],$D$13,0)),MATCH(ROW(orderHistory[customer]),ROW(orderHistory[customer])),""),ROWS($A$15:A63)+$B$3))))),"")</f>
        <v/>
      </c>
      <c r="V58" s="387" t="str">
        <f t="array" ref="V58">IFERROR(IF($D$9="",IF($D$11="",IF($D$13="",INDEX(orderHistory[status],SMALL(MATCH(ROW(orderHistory[customer]),ROW(orderHistory[customer])),ROWS($A$15:A63)+$B$3)),INDEX(orderHistory[status],SMALL(IF(ISNUMBER(MATCH(orderHistory[order_type],$D$13,0)),MATCH(ROW(orderHistory[customer]),ROW(orderHistory[customer])),""),ROWS($A$15:A63)+$B$3))),IF($D$13="",INDEX(orderHistory[status],SMALL(IF(ISNUMBER(MATCH(orderHistory[status],$D$11,0)),MATCH(ROW(orderHistory[customer]),ROW(orderHistory[customer])),""),ROWS($A$15:A63)+$B$3)),INDEX(orderHistory[status],SMALL(IF(ISNUMBER(MATCH(orderHistory[status],$D$11,0)*MATCH(orderHistory[order_type],$D$13,0)),MATCH(ROW(orderHistory[customer]),ROW(orderHistory[customer])),""),ROWS($A$15:A63)+$B$3)))),IF($D$11="",IF($D$13="",INDEX(orderHistory[status],SMALL(IF(ISNUMBER(MATCH(orderHistory[customer],$D$9,0)),MATCH(ROW(orderHistory[customer]),ROW(orderHistory[customer])),""),ROWS($A$15:A63)+$B$3)),INDEX(orderHistory[status],SMALL(IF(ISNUMBER(MATCH(orderHistory[customer],$D$9,0)*MATCH(orderHistory[order_type],$D$13,0)),MATCH(ROW(orderHistory[customer]),ROW(orderHistory[customer])),""),ROWS($A$15:A63)+$B$3))),IF($D$13="",INDEX(orderHistory[status],SMALL(IF(ISNUMBER(MATCH(orderHistory[customer],$D$9,0)*MATCH(orderHistory[status],$D$11,0)),MATCH(ROW(orderHistory[customer]),ROW(orderHistory[customer])),""),ROWS($A$15:A63)+$B$3)),INDEX(orderHistory[status],SMALL(IF(ISNUMBER(MATCH(orderHistory[customer],$D$9,0)*MATCH(orderHistory[status],$D$11,0)*MATCH(orderHistory[order_type],$D$13,0)),MATCH(ROW(orderHistory[customer]),ROW(orderHistory[customer])),""),ROWS($A$15:A63)+$B$3))))),"")</f>
        <v/>
      </c>
      <c r="AQ58" s="191"/>
      <c r="AR58" s="191" t="s">
        <v>744</v>
      </c>
      <c r="BG58"/>
      <c r="BK58" s="146"/>
      <c r="BL58" s="147"/>
      <c r="BM58" s="148"/>
      <c r="BN58" s="147"/>
      <c r="BO58" s="148"/>
      <c r="BZ58" s="305"/>
      <c r="CA58" s="270" t="str">
        <f>IF(BZ58="","",VLOOKUP(BZ58,bhpc_data[],7,FALSE))</f>
        <v/>
      </c>
      <c r="CB58" s="296"/>
      <c r="CC58" s="642"/>
      <c r="CD58" s="297"/>
      <c r="CE58" s="645"/>
      <c r="CF58" s="298"/>
      <c r="CG58" s="301" t="str">
        <f>IFERROR(ROUNDUP(CB58/VLOOKUP(BZ58,bhpc_data[],9,FALSE),0)+ROUNDUP(CD58/VLOOKUP(BZ58,bhpc_data[],9,FALSE),0),"")</f>
        <v/>
      </c>
      <c r="CH58" s="302" t="str">
        <f>IFERROR(ROUNDUP(CD58/VLOOKUP(BZ58,bhpc_data[],9,FALSE),0),"")</f>
        <v/>
      </c>
      <c r="CI58" s="302" t="str">
        <f>IFERROR(ROUNDUP(CF58/VLOOKUP(BZ58,bhpc_data[],9,FALSE),0),"")</f>
        <v/>
      </c>
      <c r="CJ58" s="302" t="str">
        <f>IFERROR(((CB58+CD58+CF58)/VLOOKUP(BZ58,bhpc_data[],9,FALSE))*VLOOKUP(BZ58,bhpc_data[],17,FALSE),"")</f>
        <v/>
      </c>
      <c r="CK58" s="302" t="str">
        <f>IFERROR(((CB58+CD58+CF58)/VLOOKUP(BZ58,bhpc_data[],9,FALSE))*VLOOKUP(BZ58,bhpc_data[],18,FALSE),"")</f>
        <v/>
      </c>
      <c r="CL58" s="346" t="str">
        <f>IFERROR((CB58+CD58)/VLOOKUP(BZ58,bhpc_data[],9,FALSE)*VLOOKUP(BZ58,bhpc_data[],14,FALSE)*VLOOKUP(BZ58,bhpc_data[],15,FALSE)*VLOOKUP(BZ58,bhpc_data[],16,FALSE)/1000000000,"")</f>
        <v/>
      </c>
      <c r="CM58" s="409" t="str">
        <f>IFERROR(VLOOKUP(BZ58,bhpc_data[],2,FALSE),"")</f>
        <v/>
      </c>
      <c r="CN58" s="409" t="str">
        <f>IFERROR(VLOOKUP(BZ58,bhpc_data[],19,FALSE),"")</f>
        <v/>
      </c>
      <c r="CO58" s="653" t="str">
        <f>IFERROR(VLOOKUP(BZ58,bhpc_data[],6,FALSE),"")</f>
        <v/>
      </c>
      <c r="CP58" s="654" t="str">
        <f>IFERROR(VLOOKUP(BZ58,inventory[],4,FALSE),"")</f>
        <v/>
      </c>
      <c r="CQ58" s="651" t="str">
        <f>IFERROR(IF(BZ58="","",IF($BX$15="SALE",VLOOKUP(BZ58,inventory[],5,FALSE),IF($BX$15="SAMPLING",VLOOKUP(BZ58,inventory[],5,FALSE),""))),"")</f>
        <v/>
      </c>
      <c r="CR58" s="652" t="str">
        <f>IFERROR(IF(BZ58="","",(CB58+CD58+CF58)*CQ58),"")</f>
        <v/>
      </c>
      <c r="CS58" s="557" t="str">
        <f>IF(BZ58="","",CB58*CC58+CD58*CE58)</f>
        <v/>
      </c>
      <c r="DA58" s="540" t="str">
        <f>IFERROR(VLOOKUP(BZ58,bhpc_data[],22,FALSE),"")</f>
        <v/>
      </c>
      <c r="EE58" s="454" t="s">
        <v>142</v>
      </c>
      <c r="EF58" s="447" t="str">
        <f>VLOOKUP(EE58,bhpc_data[],7,FALSE)</f>
        <v>BHPC PRESTIGE PASSION 100ML EDP WOMEN</v>
      </c>
      <c r="EG58" s="555">
        <f>IFERROR(VLOOKUP(EE58,inventory[],4,FALSE),0)</f>
        <v>2589</v>
      </c>
      <c r="EH58" s="555">
        <f>IFERROR(VLOOKUP(warehouse[[#This Row],[SKU]],$EQ$10:$ES$38,3,FALSE),0)</f>
        <v>0</v>
      </c>
      <c r="EI58" s="555">
        <f>IFERROR(VLOOKUP(warehouse[[#This Row],[SKU]],$EM$10:$EO$61,3,FALSE),0)</f>
        <v>1574</v>
      </c>
      <c r="EJ58" s="555">
        <f>warehouse[[#This Row],[T-1]]+warehouse[[#This Row],[SUPPLY]]-warehouse[[#This Row],[SALE + SAMPLING]]</f>
        <v>1015</v>
      </c>
      <c r="EK58" s="449"/>
      <c r="EM58" s="74" t="s">
        <v>195</v>
      </c>
      <c r="EN58" s="74" t="s">
        <v>196</v>
      </c>
      <c r="EO58" s="431">
        <v>156</v>
      </c>
    </row>
    <row r="59" spans="10:145" ht="15" customHeight="1">
      <c r="L59" s="274" t="str">
        <f t="array" ref="L59">IFERROR(IF($D$9="",IF($D$11="",IF($D$13="",INDEX(orderHistory[customer],SMALL(MATCH(ROW(orderHistory[customer]),ROW(orderHistory[customer])),ROWS($A$15:A64)+$B$3)),INDEX(orderHistory[customer],SMALL(IF(ISNUMBER(MATCH(orderHistory[order_type],$D$13,0)),MATCH(ROW(orderHistory[customer]),ROW(orderHistory[customer])),""),ROWS($A$15:A64)+$B$3))),IF($D$13="",INDEX(orderHistory[customer],SMALL(IF(ISNUMBER(MATCH(orderHistory[status],$D$11,0)),MATCH(ROW(orderHistory[customer]),ROW(orderHistory[customer])),""),ROWS($A$15:A64)+$B$3)),INDEX(orderHistory[customer],SMALL(IF(ISNUMBER(MATCH(orderHistory[status],$D$11,0)*MATCH(orderHistory[order_type],$D$13,0)),MATCH(ROW(orderHistory[customer]),ROW(orderHistory[customer])),""),ROWS($A$15:A64)+$B$3)))),IF($D$11="",IF($D$13="",INDEX(orderHistory[customer],SMALL(IF(ISNUMBER(MATCH(orderHistory[customer],$D$9,0)),MATCH(ROW(orderHistory[customer]),ROW(orderHistory[customer])),""),ROWS($A$15:A64)+$B$3)),INDEX(orderHistory[customer],SMALL(IF(ISNUMBER(MATCH(orderHistory[customer],$D$9,0)*MATCH(orderHistory[order_type],$D$13,0)),MATCH(ROW(orderHistory[customer]),ROW(orderHistory[customer])),""),ROWS($A$15:A64)+$B$3))),IF($D$13="",INDEX(orderHistory[customer],SMALL(IF(ISNUMBER(MATCH(orderHistory[customer],$D$9,0)*MATCH(orderHistory[status],$D$11,0)),MATCH(ROW(orderHistory[customer]),ROW(orderHistory[customer])),""),ROWS($A$15:A64)+$B$3)),INDEX(orderHistory[customer],SMALL(IF(ISNUMBER(MATCH(orderHistory[customer],$D$9,0)*MATCH(orderHistory[status],$D$11,0)*MATCH(orderHistory[order_type],$D$13,0)),MATCH(ROW(orderHistory[customer]),ROW(orderHistory[customer])),""),ROWS($A$15:A64)+$B$3))))),"")</f>
        <v/>
      </c>
      <c r="M59" s="391" t="str">
        <f t="array" ref="M59">IFERROR(IF($D$9="",IF($D$11="",IF($D$13="",INDEX(orderHistory[order_no],SMALL(MATCH(ROW(orderHistory[customer]),ROW(orderHistory[customer])),ROWS($A$15:A64)+$B$3)),INDEX(orderHistory[order_no],SMALL(IF(ISNUMBER(MATCH(orderHistory[order_type],$D$13,0)),MATCH(ROW(orderHistory[customer]),ROW(orderHistory[customer])),""),ROWS($A$15:A64)+$B$3))),IF($D$13="",INDEX(orderHistory[order_no],SMALL(IF(ISNUMBER(MATCH(orderHistory[status],$D$11,0)),MATCH(ROW(orderHistory[customer]),ROW(orderHistory[customer])),""),ROWS($A$15:A64)+$B$3)),INDEX(orderHistory[order_no],SMALL(IF(ISNUMBER(MATCH(orderHistory[status],$D$11,0)*MATCH(orderHistory[order_type],$D$13,0)),MATCH(ROW(orderHistory[customer]),ROW(orderHistory[customer])),""),ROWS($A$15:A64)+$B$3)))),IF($D$11="",IF($D$13="",INDEX(orderHistory[order_no],SMALL(IF(ISNUMBER(MATCH(orderHistory[customer],$D$9,0)),MATCH(ROW(orderHistory[customer]),ROW(orderHistory[customer])),""),ROWS($A$15:A64)+$B$3)),INDEX(orderHistory[order_no],SMALL(IF(ISNUMBER(MATCH(orderHistory[customer],$D$9,0)*MATCH(orderHistory[order_type],$D$13,0)),MATCH(ROW(orderHistory[customer]),ROW(orderHistory[customer])),""),ROWS($A$15:A64)+$B$3))),IF($D$13="",INDEX(orderHistory[order_no],SMALL(IF(ISNUMBER(MATCH(orderHistory[customer],$D$9,0)*MATCH(orderHistory[status],$D$11,0)),MATCH(ROW(orderHistory[customer]),ROW(orderHistory[customer])),""),ROWS($A$15:A64)+$B$3)),INDEX(orderHistory[order_no],SMALL(IF(ISNUMBER(MATCH(orderHistory[customer],$D$9,0)*MATCH(orderHistory[status],$D$11,0)*MATCH(orderHistory[order_type],$D$13,0)),MATCH(ROW(orderHistory[customer]),ROW(orderHistory[customer])),""),ROWS($A$15:A64)+$B$3))))),"")</f>
        <v/>
      </c>
      <c r="N59" s="386" t="str">
        <f t="array" ref="N59">IFERROR(IF($D$9="",IF($D$11="",IF($D$13="",INDEX(orderHistory[order_type],SMALL(MATCH(ROW(orderHistory[customer]),ROW(orderHistory[customer])),ROWS($A$15:A64)+$B$3)),INDEX(orderHistory[order_type],SMALL(IF(ISNUMBER(MATCH(orderHistory[order_type],$D$13,0)),MATCH(ROW(orderHistory[customer]),ROW(orderHistory[customer])),""),ROWS($A$15:A64)+$B$3))),IF($D$13="",INDEX(orderHistory[order_type],SMALL(IF(ISNUMBER(MATCH(orderHistory[status],$D$11,0)),MATCH(ROW(orderHistory[customer]),ROW(orderHistory[customer])),""),ROWS($A$15:A64)+$B$3)),INDEX(orderHistory[order_type],SMALL(IF(ISNUMBER(MATCH(orderHistory[status],$D$11,0)*MATCH(orderHistory[order_type],$D$13,0)),MATCH(ROW(orderHistory[customer]),ROW(orderHistory[customer])),""),ROWS($A$15:A64)+$B$3)))),IF($D$11="",IF($D$13="",INDEX(orderHistory[order_type],SMALL(IF(ISNUMBER(MATCH(orderHistory[customer],$D$9,0)),MATCH(ROW(orderHistory[customer]),ROW(orderHistory[customer])),""),ROWS($A$15:A64)+$B$3)),INDEX(orderHistory[order_type],SMALL(IF(ISNUMBER(MATCH(orderHistory[customer],$D$9,0)*MATCH(orderHistory[order_type],$D$13,0)),MATCH(ROW(orderHistory[customer]),ROW(orderHistory[customer])),""),ROWS($A$15:A64)+$B$3))),IF($D$13="",INDEX(orderHistory[order_type],SMALL(IF(ISNUMBER(MATCH(orderHistory[customer],$D$9,0)*MATCH(orderHistory[status],$D$11,0)),MATCH(ROW(orderHistory[customer]),ROW(orderHistory[customer])),""),ROWS($A$15:A64)+$B$3)),INDEX(orderHistory[order_type],SMALL(IF(ISNUMBER(MATCH(orderHistory[customer],$D$9,0)*MATCH(orderHistory[status],$D$11,0)*MATCH(orderHistory[order_type],$D$13,0)),MATCH(ROW(orderHistory[customer]),ROW(orderHistory[customer])),""),ROWS($A$15:A64)+$B$3))))),"")</f>
        <v/>
      </c>
      <c r="O59" s="275" t="str">
        <f t="array" ref="O59">IFERROR(IF($D$9="",IF($D$11="",IF($D$13="",INDEX(orderHistory[order_date],SMALL(MATCH(ROW(orderHistory[customer]),ROW(orderHistory[customer])),ROWS($A$15:A64)+$B$3)),INDEX(orderHistory[order_date],SMALL(IF(ISNUMBER(MATCH(orderHistory[order_type],$D$13,0)),MATCH(ROW(orderHistory[customer]),ROW(orderHistory[customer])),""),ROWS($A$15:A64)+$B$3))),IF($D$13="",INDEX(orderHistory[order_date],SMALL(IF(ISNUMBER(MATCH(orderHistory[status],$D$11,0)),MATCH(ROW(orderHistory[customer]),ROW(orderHistory[customer])),""),ROWS($A$15:A64)+$B$3)),INDEX(orderHistory[order_date],SMALL(IF(ISNUMBER(MATCH(orderHistory[status],$D$11,0)*MATCH(orderHistory[order_type],$D$13,0)),MATCH(ROW(orderHistory[customer]),ROW(orderHistory[customer])),""),ROWS($A$15:A64)+$B$3)))),IF($D$11="",IF($D$13="",INDEX(orderHistory[order_date],SMALL(IF(ISNUMBER(MATCH(orderHistory[customer],$D$9,0)),MATCH(ROW(orderHistory[customer]),ROW(orderHistory[customer])),""),ROWS($A$15:A64)+$B$3)),INDEX(orderHistory[order_date],SMALL(IF(ISNUMBER(MATCH(orderHistory[customer],$D$9,0)*MATCH(orderHistory[order_type],$D$13,0)),MATCH(ROW(orderHistory[customer]),ROW(orderHistory[customer])),""),ROWS($A$15:A64)+$B$3))),IF($D$13="",INDEX(orderHistory[order_date],SMALL(IF(ISNUMBER(MATCH(orderHistory[customer],$D$9,0)*MATCH(orderHistory[status],$D$11,0)),MATCH(ROW(orderHistory[customer]),ROW(orderHistory[customer])),""),ROWS($A$15:A64)+$B$3)),INDEX(orderHistory[order_date],SMALL(IF(ISNUMBER(MATCH(orderHistory[customer],$D$9,0)*MATCH(orderHistory[status],$D$11,0)*MATCH(orderHistory[order_type],$D$13,0)),MATCH(ROW(orderHistory[customer]),ROW(orderHistory[customer])),""),ROWS($A$15:A64)+$B$3))))),"")</f>
        <v/>
      </c>
      <c r="P59" s="379" t="str">
        <f t="array" ref="P59">IF(IFERROR(IF($D$9="",IF($D$11="",IF($D$13="",INDEX(orderHistory[invoice_no],SMALL(MATCH(ROW(orderHistory[customer]),ROW(orderHistory[customer])),ROWS($A$15:A64)+$B$3)),INDEX(orderHistory[invoice_no],SMALL(IF(ISNUMBER(MATCH(orderHistory[order_type],$D$13,0)),MATCH(ROW(orderHistory[customer]),ROW(orderHistory[customer])),""),ROWS($A$15:A64)+$B$3))),IF($D$13="",INDEX(orderHistory[invoice_no],SMALL(IF(ISNUMBER(MATCH(orderHistory[status],$D$11,0)),MATCH(ROW(orderHistory[customer]),ROW(orderHistory[customer])),""),ROWS($A$15:A64)+$B$3)),INDEX(orderHistory[invoice_no],SMALL(IF(ISNUMBER(MATCH(orderHistory[status],$D$11,0)*MATCH(orderHistory[order_type],$D$13,0)),MATCH(ROW(orderHistory[customer]),ROW(orderHistory[customer])),""),ROWS($A$15:A64)+$B$3)))),IF($D$11="",IF($D$13="",INDEX(orderHistory[invoice_no],SMALL(IF(ISNUMBER(MATCH(orderHistory[customer],$D$9,0)),MATCH(ROW(orderHistory[customer]),ROW(orderHistory[customer])),""),ROWS($A$15:A64)+$B$3)),INDEX(orderHistory[invoice_no],SMALL(IF(ISNUMBER(MATCH(orderHistory[customer],$D$9,0)*MATCH(orderHistory[order_type],$D$13,0)),MATCH(ROW(orderHistory[customer]),ROW(orderHistory[customer])),""),ROWS($A$15:A64)+$B$3))),IF($D$13="",INDEX(orderHistory[invoice_no],SMALL(IF(ISNUMBER(MATCH(orderHistory[customer],$D$9,0)*MATCH(orderHistory[status],$D$11,0)),MATCH(ROW(orderHistory[customer]),ROW(orderHistory[customer])),""),ROWS($A$15:A64)+$B$3)),INDEX(orderHistory[invoice_no],SMALL(IF(ISNUMBER(MATCH(orderHistory[customer],$D$9,0)*MATCH(orderHistory[status],$D$11,0)*MATCH(orderHistory[order_type],$D$13,0)),MATCH(ROW(orderHistory[customer]),ROW(orderHistory[customer])),""),ROWS($A$15:A64)+$B$3))))),"")=0,"",IFERROR(IF($D$9="",IF($D$11="",IF($D$13="",INDEX(orderHistory[invoice_no],SMALL(MATCH(ROW(orderHistory[customer]),ROW(orderHistory[customer])),ROWS($A$15:A64)+$B$3)),INDEX(orderHistory[invoice_no],SMALL(IF(ISNUMBER(MATCH(orderHistory[order_type],$D$13,0)),MATCH(ROW(orderHistory[customer]),ROW(orderHistory[customer])),""),ROWS($A$15:A64)+$B$3))),IF($D$13="",INDEX(orderHistory[invoice_no],SMALL(IF(ISNUMBER(MATCH(orderHistory[status],$D$11,0)),MATCH(ROW(orderHistory[customer]),ROW(orderHistory[customer])),""),ROWS($A$15:A64)+$B$3)),INDEX(orderHistory[invoice_no],SMALL(IF(ISNUMBER(MATCH(orderHistory[status],$D$11,0)*MATCH(orderHistory[order_type],$D$13,0)),MATCH(ROW(orderHistory[customer]),ROW(orderHistory[customer])),""),ROWS($A$15:A64)+$B$3)))),IF($D$11="",IF($D$13="",INDEX(orderHistory[invoice_no],SMALL(IF(ISNUMBER(MATCH(orderHistory[customer],$D$9,0)),MATCH(ROW(orderHistory[customer]),ROW(orderHistory[customer])),""),ROWS($A$15:A64)+$B$3)),INDEX(orderHistory[invoice_no],SMALL(IF(ISNUMBER(MATCH(orderHistory[customer],$D$9,0)*MATCH(orderHistory[order_type],$D$13,0)),MATCH(ROW(orderHistory[customer]),ROW(orderHistory[customer])),""),ROWS($A$15:A64)+$B$3))),IF($D$13="",INDEX(orderHistory[invoice_no],SMALL(IF(ISNUMBER(MATCH(orderHistory[customer],$D$9,0)*MATCH(orderHistory[status],$D$11,0)),MATCH(ROW(orderHistory[customer]),ROW(orderHistory[customer])),""),ROWS($A$15:A64)+$B$3)),INDEX(orderHistory[invoice_no],SMALL(IF(ISNUMBER(MATCH(orderHistory[customer],$D$9,0)*MATCH(orderHistory[status],$D$11,0)*MATCH(orderHistory[order_type],$D$13,0)),MATCH(ROW(orderHistory[customer]),ROW(orderHistory[customer])),""),ROWS($A$15:A64)+$B$3))))),""))</f>
        <v/>
      </c>
      <c r="Q59" s="381" t="str">
        <f t="array" ref="Q59">IF(IFERROR(IF($D$9="",IF($D$11="",IF($D$13="",INDEX(orderHistory[invoice_date],SMALL(MATCH(ROW(orderHistory[customer]),ROW(orderHistory[customer])),ROWS($A$15:A64)+$B$3)),INDEX(orderHistory[invoice_date],SMALL(IF(ISNUMBER(MATCH(orderHistory[order_type],$D$13,0)),MATCH(ROW(orderHistory[customer]),ROW(orderHistory[customer])),""),ROWS($A$15:A64)+$B$3))),IF($D$13="",INDEX(orderHistory[invoice_date],SMALL(IF(ISNUMBER(MATCH(orderHistory[status],$D$11,0)),MATCH(ROW(orderHistory[customer]),ROW(orderHistory[customer])),""),ROWS($A$15:A64)+$B$3)),INDEX(orderHistory[invoice_date],SMALL(IF(ISNUMBER(MATCH(orderHistory[status],$D$11,0)*MATCH(orderHistory[order_type],$D$13,0)),MATCH(ROW(orderHistory[customer]),ROW(orderHistory[customer])),""),ROWS($A$15:A64)+$B$3)))),IF($D$11="",IF($D$13="",INDEX(orderHistory[invoice_date],SMALL(IF(ISNUMBER(MATCH(orderHistory[customer],$D$9,0)),MATCH(ROW(orderHistory[customer]),ROW(orderHistory[customer])),""),ROWS($A$15:A64)+$B$3)),INDEX(orderHistory[invoice_date],SMALL(IF(ISNUMBER(MATCH(orderHistory[customer],$D$9,0)*MATCH(orderHistory[order_type],$D$13,0)),MATCH(ROW(orderHistory[customer]),ROW(orderHistory[customer])),""),ROWS($A$15:A64)+$B$3))),IF($D$13="",INDEX(orderHistory[invoice_date],SMALL(IF(ISNUMBER(MATCH(orderHistory[customer],$D$9,0)*MATCH(orderHistory[status],$D$11,0)),MATCH(ROW(orderHistory[customer]),ROW(orderHistory[customer])),""),ROWS($A$15:A64)+$B$3)),INDEX(orderHistory[invoice_date],SMALL(IF(ISNUMBER(MATCH(orderHistory[customer],$D$9,0)*MATCH(orderHistory[status],$D$11,0)*MATCH(orderHistory[order_type],$D$13,0)),MATCH(ROW(orderHistory[customer]),ROW(orderHistory[customer])),""),ROWS($A$15:A64)+$B$3))))),"")=0,"",IFERROR(IF($D$9="",IF($D$11="",IF($D$13="",INDEX(orderHistory[invoice_date],SMALL(MATCH(ROW(orderHistory[customer]),ROW(orderHistory[customer])),ROWS($A$15:A64)+$B$3)),INDEX(orderHistory[invoice_date],SMALL(IF(ISNUMBER(MATCH(orderHistory[order_type],$D$13,0)),MATCH(ROW(orderHistory[customer]),ROW(orderHistory[customer])),""),ROWS($A$15:A64)+$B$3))),IF($D$13="",INDEX(orderHistory[invoice_date],SMALL(IF(ISNUMBER(MATCH(orderHistory[status],$D$11,0)),MATCH(ROW(orderHistory[customer]),ROW(orderHistory[customer])),""),ROWS($A$15:A64)+$B$3)),INDEX(orderHistory[invoice_date],SMALL(IF(ISNUMBER(MATCH(orderHistory[status],$D$11,0)*MATCH(orderHistory[order_type],$D$13,0)),MATCH(ROW(orderHistory[customer]),ROW(orderHistory[customer])),""),ROWS($A$15:A64)+$B$3)))),IF($D$11="",IF($D$13="",INDEX(orderHistory[invoice_date],SMALL(IF(ISNUMBER(MATCH(orderHistory[customer],$D$9,0)),MATCH(ROW(orderHistory[customer]),ROW(orderHistory[customer])),""),ROWS($A$15:A64)+$B$3)),INDEX(orderHistory[invoice_date],SMALL(IF(ISNUMBER(MATCH(orderHistory[customer],$D$9,0)*MATCH(orderHistory[order_type],$D$13,0)),MATCH(ROW(orderHistory[customer]),ROW(orderHistory[customer])),""),ROWS($A$15:A64)+$B$3))),IF($D$13="",INDEX(orderHistory[invoice_date],SMALL(IF(ISNUMBER(MATCH(orderHistory[customer],$D$9,0)*MATCH(orderHistory[status],$D$11,0)),MATCH(ROW(orderHistory[customer]),ROW(orderHistory[customer])),""),ROWS($A$15:A64)+$B$3)),INDEX(orderHistory[invoice_date],SMALL(IF(ISNUMBER(MATCH(orderHistory[customer],$D$9,0)*MATCH(orderHistory[status],$D$11,0)*MATCH(orderHistory[order_type],$D$13,0)),MATCH(ROW(orderHistory[customer]),ROW(orderHistory[customer])),""),ROWS($A$15:A64)+$B$3))))),""))</f>
        <v/>
      </c>
      <c r="R59" s="377" t="str">
        <f t="array" ref="R59">IFERROR(IF($D$9="",IF($D$11="",IF($D$13="",INDEX(orderHistory[inv_amount],SMALL(MATCH(ROW(orderHistory[customer]),ROW(orderHistory[customer])),ROWS($A$15:A64)+$B$3)),INDEX(orderHistory[inv_amount],SMALL(IF(ISNUMBER(MATCH(orderHistory[order_type],$D$13,0)),MATCH(ROW(orderHistory[customer]),ROW(orderHistory[customer])),""),ROWS($A$15:A64)+$B$3))),IF($D$13="",INDEX(orderHistory[inv_amount],SMALL(IF(ISNUMBER(MATCH(orderHistory[status],$D$11,0)),MATCH(ROW(orderHistory[customer]),ROW(orderHistory[customer])),""),ROWS($A$15:A64)+$B$3)),INDEX(orderHistory[inv_amount],SMALL(IF(ISNUMBER(MATCH(orderHistory[status],$D$11,0)*MATCH(orderHistory[order_type],$D$13,0)),MATCH(ROW(orderHistory[customer]),ROW(orderHistory[customer])),""),ROWS($A$15:A64)+$B$3)))),IF($D$11="",IF($D$13="",INDEX(orderHistory[inv_amount],SMALL(IF(ISNUMBER(MATCH(orderHistory[customer],$D$9,0)),MATCH(ROW(orderHistory[customer]),ROW(orderHistory[customer])),""),ROWS($A$15:A64)+$B$3)),INDEX(orderHistory[inv_amount],SMALL(IF(ISNUMBER(MATCH(orderHistory[customer],$D$9,0)*MATCH(orderHistory[order_type],$D$13,0)),MATCH(ROW(orderHistory[customer]),ROW(orderHistory[customer])),""),ROWS($A$15:A64)+$B$3))),IF($D$13="",INDEX(orderHistory[inv_amount],SMALL(IF(ISNUMBER(MATCH(orderHistory[customer],$D$9,0)*MATCH(orderHistory[status],$D$11,0)),MATCH(ROW(orderHistory[customer]),ROW(orderHistory[customer])),""),ROWS($A$15:A64)+$B$3)),INDEX(orderHistory[inv_amount],SMALL(IF(ISNUMBER(MATCH(orderHistory[customer],$D$9,0)*MATCH(orderHistory[status],$D$11,0)*MATCH(orderHistory[order_type],$D$13,0)),MATCH(ROW(orderHistory[customer]),ROW(orderHistory[customer])),""),ROWS($A$15:A64)+$B$3))))),"")</f>
        <v/>
      </c>
      <c r="S59" s="383" t="str">
        <f t="shared" si="1"/>
        <v/>
      </c>
      <c r="T59" s="385" t="str">
        <f t="array" ref="T59">IFERROR(IF($D$9="",IF($D$11="",IF($D$13="",INDEX(orderHistory[payed],SMALL(MATCH(ROW(orderHistory[customer]),ROW(orderHistory[customer])),ROWS($A$15:A64)+$B$3)),INDEX(orderHistory[payed],SMALL(IF(ISNUMBER(MATCH(orderHistory[order_type],$D$13,0)),MATCH(ROW(orderHistory[customer]),ROW(orderHistory[customer])),""),ROWS($A$15:A64)+$B$3))),IF($D$13="",INDEX(orderHistory[payed],SMALL(IF(ISNUMBER(MATCH(orderHistory[status],$D$11,0)),MATCH(ROW(orderHistory[customer]),ROW(orderHistory[customer])),""),ROWS($A$15:A64)+$B$3)),INDEX(orderHistory[payed],SMALL(IF(ISNUMBER(MATCH(orderHistory[status],$D$11,0)*MATCH(orderHistory[order_type],$D$13,0)),MATCH(ROW(orderHistory[customer]),ROW(orderHistory[customer])),""),ROWS($A$15:A64)+$B$3)))),IF($D$11="",IF($D$13="",INDEX(orderHistory[payed],SMALL(IF(ISNUMBER(MATCH(orderHistory[customer],$D$9,0)),MATCH(ROW(orderHistory[customer]),ROW(orderHistory[customer])),""),ROWS($A$15:A64)+$B$3)),INDEX(orderHistory[payed],SMALL(IF(ISNUMBER(MATCH(orderHistory[customer],$D$9,0)*MATCH(orderHistory[order_type],$D$13,0)),MATCH(ROW(orderHistory[customer]),ROW(orderHistory[customer])),""),ROWS($A$15:A64)+$B$3))),IF($D$13="",INDEX(orderHistory[payed],SMALL(IF(ISNUMBER(MATCH(orderHistory[customer],$D$9,0)*MATCH(orderHistory[status],$D$11,0)),MATCH(ROW(orderHistory[customer]),ROW(orderHistory[customer])),""),ROWS($A$15:A64)+$B$3)),INDEX(orderHistory[payed],SMALL(IF(ISNUMBER(MATCH(orderHistory[customer],$D$9,0)*MATCH(orderHistory[status],$D$11,0)*MATCH(orderHistory[order_type],$D$13,0)),MATCH(ROW(orderHistory[customer]),ROW(orderHistory[customer])),""),ROWS($A$15:A64)+$B$3))))),"")</f>
        <v/>
      </c>
      <c r="U59" s="386" t="str">
        <f t="array" ref="U59">IFERROR(IF($D$9="",IF($D$11="",IF($D$13="",INDEX(orderHistory[shipping_method],SMALL(MATCH(ROW(orderHistory[customer]),ROW(orderHistory[customer])),ROWS($A$15:A64)+$B$3)),INDEX(orderHistory[shipping_method],SMALL(IF(ISNUMBER(MATCH(orderHistory[order_type],$D$13,0)),MATCH(ROW(orderHistory[customer]),ROW(orderHistory[customer])),""),ROWS($A$15:A64)+$B$3))),IF($D$13="",INDEX(orderHistory[shipping_method],SMALL(IF(ISNUMBER(MATCH(orderHistory[status],$D$11,0)),MATCH(ROW(orderHistory[customer]),ROW(orderHistory[customer])),""),ROWS($A$15:A64)+$B$3)),INDEX(orderHistory[shipping_method],SMALL(IF(ISNUMBER(MATCH(orderHistory[status],$D$11,0)*MATCH(orderHistory[order_type],$D$13,0)),MATCH(ROW(orderHistory[customer]),ROW(orderHistory[customer])),""),ROWS($A$15:A64)+$B$3)))),IF($D$11="",IF($D$13="",INDEX(orderHistory[shipping_method],SMALL(IF(ISNUMBER(MATCH(orderHistory[customer],$D$9,0)),MATCH(ROW(orderHistory[customer]),ROW(orderHistory[customer])),""),ROWS($A$15:A64)+$B$3)),INDEX(orderHistory[shipping_method],SMALL(IF(ISNUMBER(MATCH(orderHistory[customer],$D$9,0)*MATCH(orderHistory[order_type],$D$13,0)),MATCH(ROW(orderHistory[customer]),ROW(orderHistory[customer])),""),ROWS($A$15:A64)+$B$3))),IF($D$13="",INDEX(orderHistory[shipping_method],SMALL(IF(ISNUMBER(MATCH(orderHistory[customer],$D$9,0)*MATCH(orderHistory[status],$D$11,0)),MATCH(ROW(orderHistory[customer]),ROW(orderHistory[customer])),""),ROWS($A$15:A64)+$B$3)),INDEX(orderHistory[shipping_method],SMALL(IF(ISNUMBER(MATCH(orderHistory[customer],$D$9,0)*MATCH(orderHistory[status],$D$11,0)*MATCH(orderHistory[order_type],$D$13,0)),MATCH(ROW(orderHistory[customer]),ROW(orderHistory[customer])),""),ROWS($A$15:A64)+$B$3))))),"")</f>
        <v/>
      </c>
      <c r="V59" s="387" t="str">
        <f t="array" ref="V59">IFERROR(IF($D$9="",IF($D$11="",IF($D$13="",INDEX(orderHistory[status],SMALL(MATCH(ROW(orderHistory[customer]),ROW(orderHistory[customer])),ROWS($A$15:A64)+$B$3)),INDEX(orderHistory[status],SMALL(IF(ISNUMBER(MATCH(orderHistory[order_type],$D$13,0)),MATCH(ROW(orderHistory[customer]),ROW(orderHistory[customer])),""),ROWS($A$15:A64)+$B$3))),IF($D$13="",INDEX(orderHistory[status],SMALL(IF(ISNUMBER(MATCH(orderHistory[status],$D$11,0)),MATCH(ROW(orderHistory[customer]),ROW(orderHistory[customer])),""),ROWS($A$15:A64)+$B$3)),INDEX(orderHistory[status],SMALL(IF(ISNUMBER(MATCH(orderHistory[status],$D$11,0)*MATCH(orderHistory[order_type],$D$13,0)),MATCH(ROW(orderHistory[customer]),ROW(orderHistory[customer])),""),ROWS($A$15:A64)+$B$3)))),IF($D$11="",IF($D$13="",INDEX(orderHistory[status],SMALL(IF(ISNUMBER(MATCH(orderHistory[customer],$D$9,0)),MATCH(ROW(orderHistory[customer]),ROW(orderHistory[customer])),""),ROWS($A$15:A64)+$B$3)),INDEX(orderHistory[status],SMALL(IF(ISNUMBER(MATCH(orderHistory[customer],$D$9,0)*MATCH(orderHistory[order_type],$D$13,0)),MATCH(ROW(orderHistory[customer]),ROW(orderHistory[customer])),""),ROWS($A$15:A64)+$B$3))),IF($D$13="",INDEX(orderHistory[status],SMALL(IF(ISNUMBER(MATCH(orderHistory[customer],$D$9,0)*MATCH(orderHistory[status],$D$11,0)),MATCH(ROW(orderHistory[customer]),ROW(orderHistory[customer])),""),ROWS($A$15:A64)+$B$3)),INDEX(orderHistory[status],SMALL(IF(ISNUMBER(MATCH(orderHistory[customer],$D$9,0)*MATCH(orderHistory[status],$D$11,0)*MATCH(orderHistory[order_type],$D$13,0)),MATCH(ROW(orderHistory[customer]),ROW(orderHistory[customer])),""),ROWS($A$15:A64)+$B$3))))),"")</f>
        <v/>
      </c>
      <c r="AQ59" s="191"/>
      <c r="AR59" s="191" t="s">
        <v>471</v>
      </c>
      <c r="BG59"/>
      <c r="BK59" s="146"/>
      <c r="BL59" s="147"/>
      <c r="BM59" s="148"/>
      <c r="BN59" s="147"/>
      <c r="BO59" s="148"/>
      <c r="BZ59" s="305"/>
      <c r="CA59" s="270" t="str">
        <f>IF(BZ59="","",VLOOKUP(BZ59,bhpc_data[],7,FALSE))</f>
        <v/>
      </c>
      <c r="CB59" s="296"/>
      <c r="CC59" s="642"/>
      <c r="CD59" s="306"/>
      <c r="CE59" s="646"/>
      <c r="CF59" s="307"/>
      <c r="CG59" s="301" t="str">
        <f>IFERROR(ROUNDUP(CB59/VLOOKUP(BZ59,bhpc_data[],9,FALSE),0)+ROUNDUP(CD59/VLOOKUP(BZ59,bhpc_data[],9,FALSE),0),"")</f>
        <v/>
      </c>
      <c r="CH59" s="302" t="str">
        <f>IFERROR(ROUNDUP(CD59/VLOOKUP(BZ59,bhpc_data[],9,FALSE),0),"")</f>
        <v/>
      </c>
      <c r="CI59" s="302" t="str">
        <f>IFERROR(ROUNDUP(CF59/VLOOKUP(BZ59,bhpc_data[],9,FALSE),0),"")</f>
        <v/>
      </c>
      <c r="CJ59" s="302" t="str">
        <f>IFERROR(((CB59+CD59+CF59)/VLOOKUP(BZ59,bhpc_data[],9,FALSE))*VLOOKUP(BZ59,bhpc_data[],17,FALSE),"")</f>
        <v/>
      </c>
      <c r="CK59" s="302" t="str">
        <f>IFERROR(((CB59+CD59+CF59)/VLOOKUP(BZ59,bhpc_data[],9,FALSE))*VLOOKUP(BZ59,bhpc_data[],18,FALSE),"")</f>
        <v/>
      </c>
      <c r="CL59" s="346" t="str">
        <f>IFERROR((CB59+CD59)/VLOOKUP(BZ59,bhpc_data[],9,FALSE)*VLOOKUP(BZ59,bhpc_data[],14,FALSE)*VLOOKUP(BZ59,bhpc_data[],15,FALSE)*VLOOKUP(BZ59,bhpc_data[],16,FALSE)/1000000000,"")</f>
        <v/>
      </c>
      <c r="CM59" s="409" t="str">
        <f>IFERROR(VLOOKUP(BZ59,bhpc_data[],2,FALSE),"")</f>
        <v/>
      </c>
      <c r="CN59" s="409" t="str">
        <f>IFERROR(VLOOKUP(BZ59,bhpc_data[],19,FALSE),"")</f>
        <v/>
      </c>
      <c r="CO59" s="653" t="str">
        <f>IFERROR(VLOOKUP(BZ59,bhpc_data[],6,FALSE),"")</f>
        <v/>
      </c>
      <c r="CP59" s="654" t="str">
        <f>IFERROR(VLOOKUP(BZ59,inventory[],4,FALSE),"")</f>
        <v/>
      </c>
      <c r="CQ59" s="651" t="str">
        <f>IFERROR(IF(BZ59="","",IF($BX$15="SALE",VLOOKUP(BZ59,inventory[],5,FALSE),IF($BX$15="SAMPLING",VLOOKUP(BZ59,inventory[],5,FALSE),""))),"")</f>
        <v/>
      </c>
      <c r="CR59" s="652" t="str">
        <f>IFERROR(IF(BZ59="","",(CB59+CD59+CF59)*CQ59),"")</f>
        <v/>
      </c>
      <c r="CS59" s="557" t="str">
        <f>IF(BZ59="","",CB59*CC59+CD59*CE59)</f>
        <v/>
      </c>
      <c r="DA59" s="540" t="str">
        <f>IFERROR(VLOOKUP(BZ59,bhpc_data[],22,FALSE),"")</f>
        <v/>
      </c>
      <c r="EE59" s="454" t="s">
        <v>144</v>
      </c>
      <c r="EF59" s="447" t="str">
        <f>VLOOKUP(EE59,bhpc_data[],7,FALSE)</f>
        <v>BHPC TESTERS TROPHY 100ML EDP MEN</v>
      </c>
      <c r="EG59" s="555">
        <f>IFERROR(VLOOKUP(EE59,inventory[],4,FALSE),0)</f>
        <v>0</v>
      </c>
      <c r="EH59" s="555">
        <f>IFERROR(VLOOKUP(warehouse[[#This Row],[SKU]],$EQ$10:$ES$38,3,FALSE),0)</f>
        <v>0</v>
      </c>
      <c r="EI59" s="555">
        <f>IFERROR(VLOOKUP(warehouse[[#This Row],[SKU]],$EM$10:$EO$61,3,FALSE),0)</f>
        <v>0</v>
      </c>
      <c r="EJ59" s="555">
        <f>warehouse[[#This Row],[T-1]]+warehouse[[#This Row],[SUPPLY]]-warehouse[[#This Row],[SALE + SAMPLING]]</f>
        <v>0</v>
      </c>
      <c r="EK59" s="449"/>
      <c r="EM59" s="74" t="s">
        <v>197</v>
      </c>
      <c r="EN59" s="74" t="s">
        <v>198</v>
      </c>
      <c r="EO59" s="431">
        <v>151</v>
      </c>
    </row>
    <row r="60" spans="10:145" ht="15" customHeight="1" thickBot="1">
      <c r="L60" s="276" t="str">
        <f t="array" ref="L60">IFERROR(IF($D$9="",IF($D$11="",IF($D$13="",INDEX(orderHistory[customer],SMALL(MATCH(ROW(orderHistory[customer]),ROW(orderHistory[customer])),ROWS($A$15:A65)+$B$3)),INDEX(orderHistory[customer],SMALL(IF(ISNUMBER(MATCH(orderHistory[order_type],$D$13,0)),MATCH(ROW(orderHistory[customer]),ROW(orderHistory[customer])),""),ROWS($A$15:A65)+$B$3))),IF($D$13="",INDEX(orderHistory[customer],SMALL(IF(ISNUMBER(MATCH(orderHistory[status],$D$11,0)),MATCH(ROW(orderHistory[customer]),ROW(orderHistory[customer])),""),ROWS($A$15:A65)+$B$3)),INDEX(orderHistory[customer],SMALL(IF(ISNUMBER(MATCH(orderHistory[status],$D$11,0)*MATCH(orderHistory[order_type],$D$13,0)),MATCH(ROW(orderHistory[customer]),ROW(orderHistory[customer])),""),ROWS($A$15:A65)+$B$3)))),IF($D$11="",IF($D$13="",INDEX(orderHistory[customer],SMALL(IF(ISNUMBER(MATCH(orderHistory[customer],$D$9,0)),MATCH(ROW(orderHistory[customer]),ROW(orderHistory[customer])),""),ROWS($A$15:A65)+$B$3)),INDEX(orderHistory[customer],SMALL(IF(ISNUMBER(MATCH(orderHistory[customer],$D$9,0)*MATCH(orderHistory[order_type],$D$13,0)),MATCH(ROW(orderHistory[customer]),ROW(orderHistory[customer])),""),ROWS($A$15:A65)+$B$3))),IF($D$13="",INDEX(orderHistory[customer],SMALL(IF(ISNUMBER(MATCH(orderHistory[customer],$D$9,0)*MATCH(orderHistory[status],$D$11,0)),MATCH(ROW(orderHistory[customer]),ROW(orderHistory[customer])),""),ROWS($A$15:A65)+$B$3)),INDEX(orderHistory[customer],SMALL(IF(ISNUMBER(MATCH(orderHistory[customer],$D$9,0)*MATCH(orderHistory[status],$D$11,0)*MATCH(orderHistory[order_type],$D$13,0)),MATCH(ROW(orderHistory[customer]),ROW(orderHistory[customer])),""),ROWS($A$15:A65)+$B$3))))),"")</f>
        <v/>
      </c>
      <c r="M60" s="392" t="str">
        <f t="array" ref="M60">IFERROR(IF($D$9="",IF($D$11="",IF($D$13="",INDEX(orderHistory[order_no],SMALL(MATCH(ROW(orderHistory[customer]),ROW(orderHistory[customer])),ROWS($A$15:A65)+$B$3)),INDEX(orderHistory[order_no],SMALL(IF(ISNUMBER(MATCH(orderHistory[order_type],$D$13,0)),MATCH(ROW(orderHistory[customer]),ROW(orderHistory[customer])),""),ROWS($A$15:A65)+$B$3))),IF($D$13="",INDEX(orderHistory[order_no],SMALL(IF(ISNUMBER(MATCH(orderHistory[status],$D$11,0)),MATCH(ROW(orderHistory[customer]),ROW(orderHistory[customer])),""),ROWS($A$15:A65)+$B$3)),INDEX(orderHistory[order_no],SMALL(IF(ISNUMBER(MATCH(orderHistory[status],$D$11,0)*MATCH(orderHistory[order_type],$D$13,0)),MATCH(ROW(orderHistory[customer]),ROW(orderHistory[customer])),""),ROWS($A$15:A65)+$B$3)))),IF($D$11="",IF($D$13="",INDEX(orderHistory[order_no],SMALL(IF(ISNUMBER(MATCH(orderHistory[customer],$D$9,0)),MATCH(ROW(orderHistory[customer]),ROW(orderHistory[customer])),""),ROWS($A$15:A65)+$B$3)),INDEX(orderHistory[order_no],SMALL(IF(ISNUMBER(MATCH(orderHistory[customer],$D$9,0)*MATCH(orderHistory[order_type],$D$13,0)),MATCH(ROW(orderHistory[customer]),ROW(orderHistory[customer])),""),ROWS($A$15:A65)+$B$3))),IF($D$13="",INDEX(orderHistory[order_no],SMALL(IF(ISNUMBER(MATCH(orderHistory[customer],$D$9,0)*MATCH(orderHistory[status],$D$11,0)),MATCH(ROW(orderHistory[customer]),ROW(orderHistory[customer])),""),ROWS($A$15:A65)+$B$3)),INDEX(orderHistory[order_no],SMALL(IF(ISNUMBER(MATCH(orderHistory[customer],$D$9,0)*MATCH(orderHistory[status],$D$11,0)*MATCH(orderHistory[order_type],$D$13,0)),MATCH(ROW(orderHistory[customer]),ROW(orderHistory[customer])),""),ROWS($A$15:A65)+$B$3))))),"")</f>
        <v/>
      </c>
      <c r="N60" s="389" t="str">
        <f t="array" ref="N60">IFERROR(IF($D$9="",IF($D$11="",IF($D$13="",INDEX(orderHistory[order_type],SMALL(MATCH(ROW(orderHistory[customer]),ROW(orderHistory[customer])),ROWS($A$15:A65)+$B$3)),INDEX(orderHistory[order_type],SMALL(IF(ISNUMBER(MATCH(orderHistory[order_type],$D$13,0)),MATCH(ROW(orderHistory[customer]),ROW(orderHistory[customer])),""),ROWS($A$15:A65)+$B$3))),IF($D$13="",INDEX(orderHistory[order_type],SMALL(IF(ISNUMBER(MATCH(orderHistory[status],$D$11,0)),MATCH(ROW(orderHistory[customer]),ROW(orderHistory[customer])),""),ROWS($A$15:A65)+$B$3)),INDEX(orderHistory[order_type],SMALL(IF(ISNUMBER(MATCH(orderHistory[status],$D$11,0)*MATCH(orderHistory[order_type],$D$13,0)),MATCH(ROW(orderHistory[customer]),ROW(orderHistory[customer])),""),ROWS($A$15:A65)+$B$3)))),IF($D$11="",IF($D$13="",INDEX(orderHistory[order_type],SMALL(IF(ISNUMBER(MATCH(orderHistory[customer],$D$9,0)),MATCH(ROW(orderHistory[customer]),ROW(orderHistory[customer])),""),ROWS($A$15:A65)+$B$3)),INDEX(orderHistory[order_type],SMALL(IF(ISNUMBER(MATCH(orderHistory[customer],$D$9,0)*MATCH(orderHistory[order_type],$D$13,0)),MATCH(ROW(orderHistory[customer]),ROW(orderHistory[customer])),""),ROWS($A$15:A65)+$B$3))),IF($D$13="",INDEX(orderHistory[order_type],SMALL(IF(ISNUMBER(MATCH(orderHistory[customer],$D$9,0)*MATCH(orderHistory[status],$D$11,0)),MATCH(ROW(orderHistory[customer]),ROW(orderHistory[customer])),""),ROWS($A$15:A65)+$B$3)),INDEX(orderHistory[order_type],SMALL(IF(ISNUMBER(MATCH(orderHistory[customer],$D$9,0)*MATCH(orderHistory[status],$D$11,0)*MATCH(orderHistory[order_type],$D$13,0)),MATCH(ROW(orderHistory[customer]),ROW(orderHistory[customer])),""),ROWS($A$15:A65)+$B$3))))),"")</f>
        <v/>
      </c>
      <c r="O60" s="277" t="str">
        <f t="array" ref="O60">IFERROR(IF($D$9="",IF($D$11="",IF($D$13="",INDEX(orderHistory[order_date],SMALL(MATCH(ROW(orderHistory[customer]),ROW(orderHistory[customer])),ROWS($A$15:A65)+$B$3)),INDEX(orderHistory[order_date],SMALL(IF(ISNUMBER(MATCH(orderHistory[order_type],$D$13,0)),MATCH(ROW(orderHistory[customer]),ROW(orderHistory[customer])),""),ROWS($A$15:A65)+$B$3))),IF($D$13="",INDEX(orderHistory[order_date],SMALL(IF(ISNUMBER(MATCH(orderHistory[status],$D$11,0)),MATCH(ROW(orderHistory[customer]),ROW(orderHistory[customer])),""),ROWS($A$15:A65)+$B$3)),INDEX(orderHistory[order_date],SMALL(IF(ISNUMBER(MATCH(orderHistory[status],$D$11,0)*MATCH(orderHistory[order_type],$D$13,0)),MATCH(ROW(orderHistory[customer]),ROW(orderHistory[customer])),""),ROWS($A$15:A65)+$B$3)))),IF($D$11="",IF($D$13="",INDEX(orderHistory[order_date],SMALL(IF(ISNUMBER(MATCH(orderHistory[customer],$D$9,0)),MATCH(ROW(orderHistory[customer]),ROW(orderHistory[customer])),""),ROWS($A$15:A65)+$B$3)),INDEX(orderHistory[order_date],SMALL(IF(ISNUMBER(MATCH(orderHistory[customer],$D$9,0)*MATCH(orderHistory[order_type],$D$13,0)),MATCH(ROW(orderHistory[customer]),ROW(orderHistory[customer])),""),ROWS($A$15:A65)+$B$3))),IF($D$13="",INDEX(orderHistory[order_date],SMALL(IF(ISNUMBER(MATCH(orderHistory[customer],$D$9,0)*MATCH(orderHistory[status],$D$11,0)),MATCH(ROW(orderHistory[customer]),ROW(orderHistory[customer])),""),ROWS($A$15:A65)+$B$3)),INDEX(orderHistory[order_date],SMALL(IF(ISNUMBER(MATCH(orderHistory[customer],$D$9,0)*MATCH(orderHistory[status],$D$11,0)*MATCH(orderHistory[order_type],$D$13,0)),MATCH(ROW(orderHistory[customer]),ROW(orderHistory[customer])),""),ROWS($A$15:A65)+$B$3))))),"")</f>
        <v/>
      </c>
      <c r="P60" s="380" t="str">
        <f t="array" ref="P60">IF(IFERROR(IF($D$9="",IF($D$11="",IF($D$13="",INDEX(orderHistory[invoice_no],SMALL(MATCH(ROW(orderHistory[customer]),ROW(orderHistory[customer])),ROWS($A$15:A65)+$B$3)),INDEX(orderHistory[invoice_no],SMALL(IF(ISNUMBER(MATCH(orderHistory[order_type],$D$13,0)),MATCH(ROW(orderHistory[customer]),ROW(orderHistory[customer])),""),ROWS($A$15:A65)+$B$3))),IF($D$13="",INDEX(orderHistory[invoice_no],SMALL(IF(ISNUMBER(MATCH(orderHistory[status],$D$11,0)),MATCH(ROW(orderHistory[customer]),ROW(orderHistory[customer])),""),ROWS($A$15:A65)+$B$3)),INDEX(orderHistory[invoice_no],SMALL(IF(ISNUMBER(MATCH(orderHistory[status],$D$11,0)*MATCH(orderHistory[order_type],$D$13,0)),MATCH(ROW(orderHistory[customer]),ROW(orderHistory[customer])),""),ROWS($A$15:A65)+$B$3)))),IF($D$11="",IF($D$13="",INDEX(orderHistory[invoice_no],SMALL(IF(ISNUMBER(MATCH(orderHistory[customer],$D$9,0)),MATCH(ROW(orderHistory[customer]),ROW(orderHistory[customer])),""),ROWS($A$15:A65)+$B$3)),INDEX(orderHistory[invoice_no],SMALL(IF(ISNUMBER(MATCH(orderHistory[customer],$D$9,0)*MATCH(orderHistory[order_type],$D$13,0)),MATCH(ROW(orderHistory[customer]),ROW(orderHistory[customer])),""),ROWS($A$15:A65)+$B$3))),IF($D$13="",INDEX(orderHistory[invoice_no],SMALL(IF(ISNUMBER(MATCH(orderHistory[customer],$D$9,0)*MATCH(orderHistory[status],$D$11,0)),MATCH(ROW(orderHistory[customer]),ROW(orderHistory[customer])),""),ROWS($A$15:A65)+$B$3)),INDEX(orderHistory[invoice_no],SMALL(IF(ISNUMBER(MATCH(orderHistory[customer],$D$9,0)*MATCH(orderHistory[status],$D$11,0)*MATCH(orderHistory[order_type],$D$13,0)),MATCH(ROW(orderHistory[customer]),ROW(orderHistory[customer])),""),ROWS($A$15:A65)+$B$3))))),"")=0,"",IFERROR(IF($D$9="",IF($D$11="",IF($D$13="",INDEX(orderHistory[invoice_no],SMALL(MATCH(ROW(orderHistory[customer]),ROW(orderHistory[customer])),ROWS($A$15:A65)+$B$3)),INDEX(orderHistory[invoice_no],SMALL(IF(ISNUMBER(MATCH(orderHistory[order_type],$D$13,0)),MATCH(ROW(orderHistory[customer]),ROW(orderHistory[customer])),""),ROWS($A$15:A65)+$B$3))),IF($D$13="",INDEX(orderHistory[invoice_no],SMALL(IF(ISNUMBER(MATCH(orderHistory[status],$D$11,0)),MATCH(ROW(orderHistory[customer]),ROW(orderHistory[customer])),""),ROWS($A$15:A65)+$B$3)),INDEX(orderHistory[invoice_no],SMALL(IF(ISNUMBER(MATCH(orderHistory[status],$D$11,0)*MATCH(orderHistory[order_type],$D$13,0)),MATCH(ROW(orderHistory[customer]),ROW(orderHistory[customer])),""),ROWS($A$15:A65)+$B$3)))),IF($D$11="",IF($D$13="",INDEX(orderHistory[invoice_no],SMALL(IF(ISNUMBER(MATCH(orderHistory[customer],$D$9,0)),MATCH(ROW(orderHistory[customer]),ROW(orderHistory[customer])),""),ROWS($A$15:A65)+$B$3)),INDEX(orderHistory[invoice_no],SMALL(IF(ISNUMBER(MATCH(orderHistory[customer],$D$9,0)*MATCH(orderHistory[order_type],$D$13,0)),MATCH(ROW(orderHistory[customer]),ROW(orderHistory[customer])),""),ROWS($A$15:A65)+$B$3))),IF($D$13="",INDEX(orderHistory[invoice_no],SMALL(IF(ISNUMBER(MATCH(orderHistory[customer],$D$9,0)*MATCH(orderHistory[status],$D$11,0)),MATCH(ROW(orderHistory[customer]),ROW(orderHistory[customer])),""),ROWS($A$15:A65)+$B$3)),INDEX(orderHistory[invoice_no],SMALL(IF(ISNUMBER(MATCH(orderHistory[customer],$D$9,0)*MATCH(orderHistory[status],$D$11,0)*MATCH(orderHistory[order_type],$D$13,0)),MATCH(ROW(orderHistory[customer]),ROW(orderHistory[customer])),""),ROWS($A$15:A65)+$B$3))))),""))</f>
        <v/>
      </c>
      <c r="Q60" s="382" t="str">
        <f t="array" ref="Q60">IF(IFERROR(IF($D$9="",IF($D$11="",IF($D$13="",INDEX(orderHistory[invoice_date],SMALL(MATCH(ROW(orderHistory[customer]),ROW(orderHistory[customer])),ROWS($A$15:A65)+$B$3)),INDEX(orderHistory[invoice_date],SMALL(IF(ISNUMBER(MATCH(orderHistory[order_type],$D$13,0)),MATCH(ROW(orderHistory[customer]),ROW(orderHistory[customer])),""),ROWS($A$15:A65)+$B$3))),IF($D$13="",INDEX(orderHistory[invoice_date],SMALL(IF(ISNUMBER(MATCH(orderHistory[status],$D$11,0)),MATCH(ROW(orderHistory[customer]),ROW(orderHistory[customer])),""),ROWS($A$15:A65)+$B$3)),INDEX(orderHistory[invoice_date],SMALL(IF(ISNUMBER(MATCH(orderHistory[status],$D$11,0)*MATCH(orderHistory[order_type],$D$13,0)),MATCH(ROW(orderHistory[customer]),ROW(orderHistory[customer])),""),ROWS($A$15:A65)+$B$3)))),IF($D$11="",IF($D$13="",INDEX(orderHistory[invoice_date],SMALL(IF(ISNUMBER(MATCH(orderHistory[customer],$D$9,0)),MATCH(ROW(orderHistory[customer]),ROW(orderHistory[customer])),""),ROWS($A$15:A65)+$B$3)),INDEX(orderHistory[invoice_date],SMALL(IF(ISNUMBER(MATCH(orderHistory[customer],$D$9,0)*MATCH(orderHistory[order_type],$D$13,0)),MATCH(ROW(orderHistory[customer]),ROW(orderHistory[customer])),""),ROWS($A$15:A65)+$B$3))),IF($D$13="",INDEX(orderHistory[invoice_date],SMALL(IF(ISNUMBER(MATCH(orderHistory[customer],$D$9,0)*MATCH(orderHistory[status],$D$11,0)),MATCH(ROW(orderHistory[customer]),ROW(orderHistory[customer])),""),ROWS($A$15:A65)+$B$3)),INDEX(orderHistory[invoice_date],SMALL(IF(ISNUMBER(MATCH(orderHistory[customer],$D$9,0)*MATCH(orderHistory[status],$D$11,0)*MATCH(orderHistory[order_type],$D$13,0)),MATCH(ROW(orderHistory[customer]),ROW(orderHistory[customer])),""),ROWS($A$15:A65)+$B$3))))),"")=0,"",IFERROR(IF($D$9="",IF($D$11="",IF($D$13="",INDEX(orderHistory[invoice_date],SMALL(MATCH(ROW(orderHistory[customer]),ROW(orderHistory[customer])),ROWS($A$15:A65)+$B$3)),INDEX(orderHistory[invoice_date],SMALL(IF(ISNUMBER(MATCH(orderHistory[order_type],$D$13,0)),MATCH(ROW(orderHistory[customer]),ROW(orderHistory[customer])),""),ROWS($A$15:A65)+$B$3))),IF($D$13="",INDEX(orderHistory[invoice_date],SMALL(IF(ISNUMBER(MATCH(orderHistory[status],$D$11,0)),MATCH(ROW(orderHistory[customer]),ROW(orderHistory[customer])),""),ROWS($A$15:A65)+$B$3)),INDEX(orderHistory[invoice_date],SMALL(IF(ISNUMBER(MATCH(orderHistory[status],$D$11,0)*MATCH(orderHistory[order_type],$D$13,0)),MATCH(ROW(orderHistory[customer]),ROW(orderHistory[customer])),""),ROWS($A$15:A65)+$B$3)))),IF($D$11="",IF($D$13="",INDEX(orderHistory[invoice_date],SMALL(IF(ISNUMBER(MATCH(orderHistory[customer],$D$9,0)),MATCH(ROW(orderHistory[customer]),ROW(orderHistory[customer])),""),ROWS($A$15:A65)+$B$3)),INDEX(orderHistory[invoice_date],SMALL(IF(ISNUMBER(MATCH(orderHistory[customer],$D$9,0)*MATCH(orderHistory[order_type],$D$13,0)),MATCH(ROW(orderHistory[customer]),ROW(orderHistory[customer])),""),ROWS($A$15:A65)+$B$3))),IF($D$13="",INDEX(orderHistory[invoice_date],SMALL(IF(ISNUMBER(MATCH(orderHistory[customer],$D$9,0)*MATCH(orderHistory[status],$D$11,0)),MATCH(ROW(orderHistory[customer]),ROW(orderHistory[customer])),""),ROWS($A$15:A65)+$B$3)),INDEX(orderHistory[invoice_date],SMALL(IF(ISNUMBER(MATCH(orderHistory[customer],$D$9,0)*MATCH(orderHistory[status],$D$11,0)*MATCH(orderHistory[order_type],$D$13,0)),MATCH(ROW(orderHistory[customer]),ROW(orderHistory[customer])),""),ROWS($A$15:A65)+$B$3))))),""))</f>
        <v/>
      </c>
      <c r="R60" s="378" t="str">
        <f t="array" ref="R60">IFERROR(IF($D$9="",IF($D$11="",IF($D$13="",INDEX(orderHistory[inv_amount],SMALL(MATCH(ROW(orderHistory[customer]),ROW(orderHistory[customer])),ROWS($A$15:A65)+$B$3)),INDEX(orderHistory[inv_amount],SMALL(IF(ISNUMBER(MATCH(orderHistory[order_type],$D$13,0)),MATCH(ROW(orderHistory[customer]),ROW(orderHistory[customer])),""),ROWS($A$15:A65)+$B$3))),IF($D$13="",INDEX(orderHistory[inv_amount],SMALL(IF(ISNUMBER(MATCH(orderHistory[status],$D$11,0)),MATCH(ROW(orderHistory[customer]),ROW(orderHistory[customer])),""),ROWS($A$15:A65)+$B$3)),INDEX(orderHistory[inv_amount],SMALL(IF(ISNUMBER(MATCH(orderHistory[status],$D$11,0)*MATCH(orderHistory[order_type],$D$13,0)),MATCH(ROW(orderHistory[customer]),ROW(orderHistory[customer])),""),ROWS($A$15:A65)+$B$3)))),IF($D$11="",IF($D$13="",INDEX(orderHistory[inv_amount],SMALL(IF(ISNUMBER(MATCH(orderHistory[customer],$D$9,0)),MATCH(ROW(orderHistory[customer]),ROW(orderHistory[customer])),""),ROWS($A$15:A65)+$B$3)),INDEX(orderHistory[inv_amount],SMALL(IF(ISNUMBER(MATCH(orderHistory[customer],$D$9,0)*MATCH(orderHistory[order_type],$D$13,0)),MATCH(ROW(orderHistory[customer]),ROW(orderHistory[customer])),""),ROWS($A$15:A65)+$B$3))),IF($D$13="",INDEX(orderHistory[inv_amount],SMALL(IF(ISNUMBER(MATCH(orderHistory[customer],$D$9,0)*MATCH(orderHistory[status],$D$11,0)),MATCH(ROW(orderHistory[customer]),ROW(orderHistory[customer])),""),ROWS($A$15:A65)+$B$3)),INDEX(orderHistory[inv_amount],SMALL(IF(ISNUMBER(MATCH(orderHistory[customer],$D$9,0)*MATCH(orderHistory[status],$D$11,0)*MATCH(orderHistory[order_type],$D$13,0)),MATCH(ROW(orderHistory[customer]),ROW(orderHistory[customer])),""),ROWS($A$15:A65)+$B$3))))),"")</f>
        <v/>
      </c>
      <c r="S60" s="384" t="str">
        <f t="shared" si="1"/>
        <v/>
      </c>
      <c r="T60" s="388" t="str">
        <f t="array" ref="T60">IFERROR(IF($D$9="",IF($D$11="",IF($D$13="",INDEX(orderHistory[payed],SMALL(MATCH(ROW(orderHistory[customer]),ROW(orderHistory[customer])),ROWS($A$15:A65)+$B$3)),INDEX(orderHistory[payed],SMALL(IF(ISNUMBER(MATCH(orderHistory[order_type],$D$13,0)),MATCH(ROW(orderHistory[customer]),ROW(orderHistory[customer])),""),ROWS($A$15:A65)+$B$3))),IF($D$13="",INDEX(orderHistory[payed],SMALL(IF(ISNUMBER(MATCH(orderHistory[status],$D$11,0)),MATCH(ROW(orderHistory[customer]),ROW(orderHistory[customer])),""),ROWS($A$15:A65)+$B$3)),INDEX(orderHistory[payed],SMALL(IF(ISNUMBER(MATCH(orderHistory[status],$D$11,0)*MATCH(orderHistory[order_type],$D$13,0)),MATCH(ROW(orderHistory[customer]),ROW(orderHistory[customer])),""),ROWS($A$15:A65)+$B$3)))),IF($D$11="",IF($D$13="",INDEX(orderHistory[payed],SMALL(IF(ISNUMBER(MATCH(orderHistory[customer],$D$9,0)),MATCH(ROW(orderHistory[customer]),ROW(orderHistory[customer])),""),ROWS($A$15:A65)+$B$3)),INDEX(orderHistory[payed],SMALL(IF(ISNUMBER(MATCH(orderHistory[customer],$D$9,0)*MATCH(orderHistory[order_type],$D$13,0)),MATCH(ROW(orderHistory[customer]),ROW(orderHistory[customer])),""),ROWS($A$15:A65)+$B$3))),IF($D$13="",INDEX(orderHistory[payed],SMALL(IF(ISNUMBER(MATCH(orderHistory[customer],$D$9,0)*MATCH(orderHistory[status],$D$11,0)),MATCH(ROW(orderHistory[customer]),ROW(orderHistory[customer])),""),ROWS($A$15:A65)+$B$3)),INDEX(orderHistory[payed],SMALL(IF(ISNUMBER(MATCH(orderHistory[customer],$D$9,0)*MATCH(orderHistory[status],$D$11,0)*MATCH(orderHistory[order_type],$D$13,0)),MATCH(ROW(orderHistory[customer]),ROW(orderHistory[customer])),""),ROWS($A$15:A65)+$B$3))))),"")</f>
        <v/>
      </c>
      <c r="U60" s="389" t="str">
        <f t="array" ref="U60">IFERROR(IF($D$9="",IF($D$11="",IF($D$13="",INDEX(orderHistory[shipping_method],SMALL(MATCH(ROW(orderHistory[customer]),ROW(orderHistory[customer])),ROWS($A$15:A65)+$B$3)),INDEX(orderHistory[shipping_method],SMALL(IF(ISNUMBER(MATCH(orderHistory[order_type],$D$13,0)),MATCH(ROW(orderHistory[customer]),ROW(orderHistory[customer])),""),ROWS($A$15:A65)+$B$3))),IF($D$13="",INDEX(orderHistory[shipping_method],SMALL(IF(ISNUMBER(MATCH(orderHistory[status],$D$11,0)),MATCH(ROW(orderHistory[customer]),ROW(orderHistory[customer])),""),ROWS($A$15:A65)+$B$3)),INDEX(orderHistory[shipping_method],SMALL(IF(ISNUMBER(MATCH(orderHistory[status],$D$11,0)*MATCH(orderHistory[order_type],$D$13,0)),MATCH(ROW(orderHistory[customer]),ROW(orderHistory[customer])),""),ROWS($A$15:A65)+$B$3)))),IF($D$11="",IF($D$13="",INDEX(orderHistory[shipping_method],SMALL(IF(ISNUMBER(MATCH(orderHistory[customer],$D$9,0)),MATCH(ROW(orderHistory[customer]),ROW(orderHistory[customer])),""),ROWS($A$15:A65)+$B$3)),INDEX(orderHistory[shipping_method],SMALL(IF(ISNUMBER(MATCH(orderHistory[customer],$D$9,0)*MATCH(orderHistory[order_type],$D$13,0)),MATCH(ROW(orderHistory[customer]),ROW(orderHistory[customer])),""),ROWS($A$15:A65)+$B$3))),IF($D$13="",INDEX(orderHistory[shipping_method],SMALL(IF(ISNUMBER(MATCH(orderHistory[customer],$D$9,0)*MATCH(orderHistory[status],$D$11,0)),MATCH(ROW(orderHistory[customer]),ROW(orderHistory[customer])),""),ROWS($A$15:A65)+$B$3)),INDEX(orderHistory[shipping_method],SMALL(IF(ISNUMBER(MATCH(orderHistory[customer],$D$9,0)*MATCH(orderHistory[status],$D$11,0)*MATCH(orderHistory[order_type],$D$13,0)),MATCH(ROW(orderHistory[customer]),ROW(orderHistory[customer])),""),ROWS($A$15:A65)+$B$3))))),"")</f>
        <v/>
      </c>
      <c r="V60" s="390" t="str">
        <f t="array" ref="V60">IFERROR(IF($D$9="",IF($D$11="",IF($D$13="",INDEX(orderHistory[status],SMALL(MATCH(ROW(orderHistory[customer]),ROW(orderHistory[customer])),ROWS($A$15:A65)+$B$3)),INDEX(orderHistory[status],SMALL(IF(ISNUMBER(MATCH(orderHistory[order_type],$D$13,0)),MATCH(ROW(orderHistory[customer]),ROW(orderHistory[customer])),""),ROWS($A$15:A65)+$B$3))),IF($D$13="",INDEX(orderHistory[status],SMALL(IF(ISNUMBER(MATCH(orderHistory[status],$D$11,0)),MATCH(ROW(orderHistory[customer]),ROW(orderHistory[customer])),""),ROWS($A$15:A65)+$B$3)),INDEX(orderHistory[status],SMALL(IF(ISNUMBER(MATCH(orderHistory[status],$D$11,0)*MATCH(orderHistory[order_type],$D$13,0)),MATCH(ROW(orderHistory[customer]),ROW(orderHistory[customer])),""),ROWS($A$15:A65)+$B$3)))),IF($D$11="",IF($D$13="",INDEX(orderHistory[status],SMALL(IF(ISNUMBER(MATCH(orderHistory[customer],$D$9,0)),MATCH(ROW(orderHistory[customer]),ROW(orderHistory[customer])),""),ROWS($A$15:A65)+$B$3)),INDEX(orderHistory[status],SMALL(IF(ISNUMBER(MATCH(orderHistory[customer],$D$9,0)*MATCH(orderHistory[order_type],$D$13,0)),MATCH(ROW(orderHistory[customer]),ROW(orderHistory[customer])),""),ROWS($A$15:A65)+$B$3))),IF($D$13="",INDEX(orderHistory[status],SMALL(IF(ISNUMBER(MATCH(orderHistory[customer],$D$9,0)*MATCH(orderHistory[status],$D$11,0)),MATCH(ROW(orderHistory[customer]),ROW(orderHistory[customer])),""),ROWS($A$15:A65)+$B$3)),INDEX(orderHistory[status],SMALL(IF(ISNUMBER(MATCH(orderHistory[customer],$D$9,0)*MATCH(orderHistory[status],$D$11,0)*MATCH(orderHistory[order_type],$D$13,0)),MATCH(ROW(orderHistory[customer]),ROW(orderHistory[customer])),""),ROWS($A$15:A65)+$B$3))))),"")</f>
        <v/>
      </c>
      <c r="BG60"/>
      <c r="BK60" s="146"/>
      <c r="BL60" s="147"/>
      <c r="BM60" s="148"/>
      <c r="BN60" s="147"/>
      <c r="BO60" s="148"/>
      <c r="BZ60" s="305"/>
      <c r="CA60" s="270" t="str">
        <f>IF(BZ60="","",VLOOKUP(BZ60,bhpc_data[],7,FALSE))</f>
        <v/>
      </c>
      <c r="CB60" s="296"/>
      <c r="CC60" s="642"/>
      <c r="CD60" s="306"/>
      <c r="CE60" s="646"/>
      <c r="CF60" s="307"/>
      <c r="CG60" s="301" t="str">
        <f>IFERROR(ROUNDUP(CB60/VLOOKUP(BZ60,bhpc_data[],9,FALSE),0)+ROUNDUP(CD60/VLOOKUP(BZ60,bhpc_data[],9,FALSE),0),"")</f>
        <v/>
      </c>
      <c r="CH60" s="302" t="str">
        <f>IFERROR(ROUNDUP(CD60/VLOOKUP(BZ60,bhpc_data[],9,FALSE),0),"")</f>
        <v/>
      </c>
      <c r="CI60" s="302" t="str">
        <f>IFERROR(ROUNDUP(CF60/VLOOKUP(BZ60,bhpc_data[],9,FALSE),0),"")</f>
        <v/>
      </c>
      <c r="CJ60" s="302" t="str">
        <f>IFERROR(((CB60+CD60+CF60)/VLOOKUP(BZ60,bhpc_data[],9,FALSE))*VLOOKUP(BZ60,bhpc_data[],17,FALSE),"")</f>
        <v/>
      </c>
      <c r="CK60" s="302" t="str">
        <f>IFERROR(((CB60+CD60+CF60)/VLOOKUP(BZ60,bhpc_data[],9,FALSE))*VLOOKUP(BZ60,bhpc_data[],18,FALSE),"")</f>
        <v/>
      </c>
      <c r="CL60" s="346" t="str">
        <f>IFERROR((CB60+CD60)/VLOOKUP(BZ60,bhpc_data[],9,FALSE)*VLOOKUP(BZ60,bhpc_data[],14,FALSE)*VLOOKUP(BZ60,bhpc_data[],15,FALSE)*VLOOKUP(BZ60,bhpc_data[],16,FALSE)/1000000000,"")</f>
        <v/>
      </c>
      <c r="CM60" s="409" t="str">
        <f>IFERROR(VLOOKUP(BZ60,bhpc_data[],2,FALSE),"")</f>
        <v/>
      </c>
      <c r="CN60" s="409" t="str">
        <f>IFERROR(VLOOKUP(BZ60,bhpc_data[],19,FALSE),"")</f>
        <v/>
      </c>
      <c r="CO60" s="653" t="str">
        <f>IFERROR(VLOOKUP(BZ60,bhpc_data[],6,FALSE),"")</f>
        <v/>
      </c>
      <c r="CP60" s="654" t="str">
        <f>IFERROR(VLOOKUP(BZ60,inventory[],4,FALSE),"")</f>
        <v/>
      </c>
      <c r="CQ60" s="651" t="str">
        <f>IFERROR(IF(BZ60="","",IF($BX$15="SALE",VLOOKUP(BZ60,inventory[],5,FALSE),IF($BX$15="SAMPLING",VLOOKUP(BZ60,inventory[],5,FALSE),""))),"")</f>
        <v/>
      </c>
      <c r="CR60" s="652" t="str">
        <f>IFERROR(IF(BZ60="","",(CB60+CD60+CF60)*CQ60),"")</f>
        <v/>
      </c>
      <c r="CS60" s="557" t="str">
        <f>IF(BZ60="","",CB60*CC60+CD60*CE60)</f>
        <v/>
      </c>
      <c r="DA60" s="540" t="str">
        <f>IFERROR(VLOOKUP(BZ60,bhpc_data[],22,FALSE),"")</f>
        <v/>
      </c>
      <c r="EE60" s="454" t="s">
        <v>147</v>
      </c>
      <c r="EF60" s="447" t="str">
        <f>VLOOKUP(EE60,bhpc_data[],7,FALSE)</f>
        <v>BHPC TESTERS HERITAGE OUD 100ML EDP MEN</v>
      </c>
      <c r="EG60" s="555">
        <f>IFERROR(VLOOKUP(EE60,inventory[],4,FALSE),0)</f>
        <v>9</v>
      </c>
      <c r="EH60" s="555">
        <f>IFERROR(VLOOKUP(warehouse[[#This Row],[SKU]],$EQ$10:$ES$38,3,FALSE),0)</f>
        <v>0</v>
      </c>
      <c r="EI60" s="555">
        <f>IFERROR(VLOOKUP(warehouse[[#This Row],[SKU]],$EM$10:$EO$61,3,FALSE),0)</f>
        <v>0</v>
      </c>
      <c r="EJ60" s="555">
        <f>warehouse[[#This Row],[T-1]]+warehouse[[#This Row],[SUPPLY]]-warehouse[[#This Row],[SALE + SAMPLING]]</f>
        <v>9</v>
      </c>
      <c r="EK60" s="449"/>
      <c r="EM60" s="74" t="s">
        <v>165</v>
      </c>
      <c r="EN60" s="74" t="s">
        <v>166</v>
      </c>
      <c r="EO60" s="431">
        <v>226</v>
      </c>
    </row>
    <row r="61" spans="10:145" ht="15" customHeight="1">
      <c r="M61"/>
      <c r="BG61"/>
      <c r="BK61" s="146"/>
      <c r="BL61" s="147"/>
      <c r="BM61" s="148"/>
      <c r="BN61" s="147"/>
      <c r="BO61" s="148"/>
      <c r="BZ61" s="305"/>
      <c r="CA61" s="270" t="str">
        <f>IF(BZ61="","",VLOOKUP(BZ61,bhpc_data[],7,FALSE))</f>
        <v/>
      </c>
      <c r="CB61" s="296"/>
      <c r="CC61" s="642"/>
      <c r="CD61" s="306"/>
      <c r="CE61" s="646"/>
      <c r="CF61" s="307"/>
      <c r="CG61" s="301" t="str">
        <f>IFERROR(ROUNDUP(CB61/VLOOKUP(BZ61,bhpc_data[],9,FALSE),0)+ROUNDUP(CD61/VLOOKUP(BZ61,bhpc_data[],9,FALSE),0),"")</f>
        <v/>
      </c>
      <c r="CH61" s="302" t="str">
        <f>IFERROR(ROUNDUP(CD61/VLOOKUP(BZ61,bhpc_data[],9,FALSE),0),"")</f>
        <v/>
      </c>
      <c r="CI61" s="302" t="str">
        <f>IFERROR(ROUNDUP(CF61/VLOOKUP(BZ61,bhpc_data[],9,FALSE),0),"")</f>
        <v/>
      </c>
      <c r="CJ61" s="302" t="str">
        <f>IFERROR(((CB61+CD61+CF61)/VLOOKUP(BZ61,bhpc_data[],9,FALSE))*VLOOKUP(BZ61,bhpc_data[],17,FALSE),"")</f>
        <v/>
      </c>
      <c r="CK61" s="302" t="str">
        <f>IFERROR(((CB61+CD61+CF61)/VLOOKUP(BZ61,bhpc_data[],9,FALSE))*VLOOKUP(BZ61,bhpc_data[],18,FALSE),"")</f>
        <v/>
      </c>
      <c r="CL61" s="346" t="str">
        <f>IFERROR((CB61+CD61)/VLOOKUP(BZ61,bhpc_data[],9,FALSE)*VLOOKUP(BZ61,bhpc_data[],14,FALSE)*VLOOKUP(BZ61,bhpc_data[],15,FALSE)*VLOOKUP(BZ61,bhpc_data[],16,FALSE)/1000000000,"")</f>
        <v/>
      </c>
      <c r="CM61" s="409" t="str">
        <f>IFERROR(VLOOKUP(BZ61,bhpc_data[],2,FALSE),"")</f>
        <v/>
      </c>
      <c r="CN61" s="409" t="str">
        <f>IFERROR(VLOOKUP(BZ61,bhpc_data[],19,FALSE),"")</f>
        <v/>
      </c>
      <c r="CO61" s="653" t="str">
        <f>IFERROR(VLOOKUP(BZ61,bhpc_data[],6,FALSE),"")</f>
        <v/>
      </c>
      <c r="CP61" s="654" t="str">
        <f>IFERROR(VLOOKUP(BZ61,inventory[],4,FALSE),"")</f>
        <v/>
      </c>
      <c r="CQ61" s="651" t="str">
        <f>IFERROR(IF(BZ61="","",IF($BX$15="SALE",VLOOKUP(BZ61,inventory[],5,FALSE),IF($BX$15="SAMPLING",VLOOKUP(BZ61,inventory[],5,FALSE),""))),"")</f>
        <v/>
      </c>
      <c r="CR61" s="652" t="str">
        <f>IFERROR(IF(BZ61="","",(CB61+CD61+CF61)*CQ61),"")</f>
        <v/>
      </c>
      <c r="CS61" s="557" t="str">
        <f>IF(BZ61="","",CB61*CC61+CD61*CE61)</f>
        <v/>
      </c>
      <c r="DA61" s="540" t="str">
        <f>IFERROR(VLOOKUP(BZ61,bhpc_data[],22,FALSE),"")</f>
        <v/>
      </c>
      <c r="EE61" s="454" t="s">
        <v>149</v>
      </c>
      <c r="EF61" s="447" t="str">
        <f>VLOOKUP(EE61,bhpc_data[],7,FALSE)</f>
        <v>BHPC TESTERS TOUR INTENSE 100ML EDP MEN</v>
      </c>
      <c r="EG61" s="555">
        <f>IFERROR(VLOOKUP(EE61,inventory[],4,FALSE),0)</f>
        <v>0</v>
      </c>
      <c r="EH61" s="555">
        <f>IFERROR(VLOOKUP(warehouse[[#This Row],[SKU]],$EQ$10:$ES$38,3,FALSE),0)</f>
        <v>0</v>
      </c>
      <c r="EI61" s="555">
        <f>IFERROR(VLOOKUP(warehouse[[#This Row],[SKU]],$EM$10:$EO$61,3,FALSE),0)</f>
        <v>0</v>
      </c>
      <c r="EJ61" s="555">
        <f>warehouse[[#This Row],[T-1]]+warehouse[[#This Row],[SUPPLY]]-warehouse[[#This Row],[SALE + SAMPLING]]</f>
        <v>0</v>
      </c>
      <c r="EK61" s="449"/>
      <c r="EM61" s="74" t="s">
        <v>167</v>
      </c>
      <c r="EN61" s="74" t="s">
        <v>168</v>
      </c>
      <c r="EO61" s="431">
        <v>226</v>
      </c>
    </row>
    <row r="62" spans="10:145" ht="15" customHeight="1">
      <c r="M62"/>
      <c r="BG62"/>
      <c r="BK62" s="146"/>
      <c r="BL62" s="147"/>
      <c r="BM62" s="148"/>
      <c r="BN62" s="147"/>
      <c r="BO62" s="148"/>
      <c r="BZ62" s="305"/>
      <c r="CA62" s="270" t="str">
        <f>IF(BZ62="","",VLOOKUP(BZ62,bhpc_data[],7,FALSE))</f>
        <v/>
      </c>
      <c r="CB62" s="296"/>
      <c r="CC62" s="642"/>
      <c r="CD62" s="306"/>
      <c r="CE62" s="646"/>
      <c r="CF62" s="307"/>
      <c r="CG62" s="301" t="str">
        <f>IFERROR(ROUNDUP(CB62/VLOOKUP(BZ62,bhpc_data[],9,FALSE),0)+ROUNDUP(CD62/VLOOKUP(BZ62,bhpc_data[],9,FALSE),0),"")</f>
        <v/>
      </c>
      <c r="CH62" s="302" t="str">
        <f>IFERROR(ROUNDUP(CD62/VLOOKUP(BZ62,bhpc_data[],9,FALSE),0),"")</f>
        <v/>
      </c>
      <c r="CI62" s="302" t="str">
        <f>IFERROR(ROUNDUP(CF62/VLOOKUP(BZ62,bhpc_data[],9,FALSE),0),"")</f>
        <v/>
      </c>
      <c r="CJ62" s="302" t="str">
        <f>IFERROR(((CB62+CD62+CF62)/VLOOKUP(BZ62,bhpc_data[],9,FALSE))*VLOOKUP(BZ62,bhpc_data[],17,FALSE),"")</f>
        <v/>
      </c>
      <c r="CK62" s="302" t="str">
        <f>IFERROR(((CB62+CD62+CF62)/VLOOKUP(BZ62,bhpc_data[],9,FALSE))*VLOOKUP(BZ62,bhpc_data[],18,FALSE),"")</f>
        <v/>
      </c>
      <c r="CL62" s="346" t="str">
        <f>IFERROR((CB62+CD62)/VLOOKUP(BZ62,bhpc_data[],9,FALSE)*VLOOKUP(BZ62,bhpc_data[],14,FALSE)*VLOOKUP(BZ62,bhpc_data[],15,FALSE)*VLOOKUP(BZ62,bhpc_data[],16,FALSE)/1000000000,"")</f>
        <v/>
      </c>
      <c r="CM62" s="409" t="str">
        <f>IFERROR(VLOOKUP(BZ62,bhpc_data[],2,FALSE),"")</f>
        <v/>
      </c>
      <c r="CN62" s="409" t="str">
        <f>IFERROR(VLOOKUP(BZ62,bhpc_data[],19,FALSE),"")</f>
        <v/>
      </c>
      <c r="CO62" s="653" t="str">
        <f>IFERROR(VLOOKUP(BZ62,bhpc_data[],6,FALSE),"")</f>
        <v/>
      </c>
      <c r="CP62" s="654" t="str">
        <f>IFERROR(VLOOKUP(BZ62,inventory[],4,FALSE),"")</f>
        <v/>
      </c>
      <c r="CQ62" s="651" t="str">
        <f>IFERROR(IF(BZ62="","",IF($BX$15="SALE",VLOOKUP(BZ62,inventory[],5,FALSE),IF($BX$15="SAMPLING",VLOOKUP(BZ62,inventory[],5,FALSE),""))),"")</f>
        <v/>
      </c>
      <c r="CR62" s="652" t="str">
        <f>IFERROR(IF(BZ62="","",(CB62+CD62+CF62)*CQ62),"")</f>
        <v/>
      </c>
      <c r="CS62" s="557" t="str">
        <f>IF(BZ62="","",CB62*CC62+CD62*CE62)</f>
        <v/>
      </c>
      <c r="DA62" s="540" t="str">
        <f>IFERROR(VLOOKUP(BZ62,bhpc_data[],22,FALSE),"")</f>
        <v/>
      </c>
      <c r="EE62" s="454" t="s">
        <v>151</v>
      </c>
      <c r="EF62" s="447" t="str">
        <f>VLOOKUP(EE62,bhpc_data[],7,FALSE)</f>
        <v>BHPC TESTERS TITAN 100ML EDP MEN</v>
      </c>
      <c r="EG62" s="555">
        <f>IFERROR(VLOOKUP(EE62,inventory[],4,FALSE),0)</f>
        <v>41</v>
      </c>
      <c r="EH62" s="555">
        <f>IFERROR(VLOOKUP(warehouse[[#This Row],[SKU]],$EQ$10:$ES$38,3,FALSE),0)</f>
        <v>0</v>
      </c>
      <c r="EI62" s="555">
        <f>IFERROR(VLOOKUP(warehouse[[#This Row],[SKU]],$EM$10:$EO$61,3,FALSE),0)</f>
        <v>0</v>
      </c>
      <c r="EJ62" s="555">
        <f>warehouse[[#This Row],[T-1]]+warehouse[[#This Row],[SUPPLY]]-warehouse[[#This Row],[SALE + SAMPLING]]</f>
        <v>41</v>
      </c>
      <c r="EK62" s="449"/>
    </row>
    <row r="63" spans="10:145" ht="15" customHeight="1">
      <c r="M63"/>
      <c r="BG63"/>
      <c r="BK63" s="146"/>
      <c r="BL63" s="147"/>
      <c r="BM63" s="148"/>
      <c r="BN63" s="147"/>
      <c r="BO63" s="148"/>
      <c r="BZ63" s="305"/>
      <c r="CA63" s="270" t="str">
        <f>IF(BZ63="","",VLOOKUP(BZ63,bhpc_data[],7,FALSE))</f>
        <v/>
      </c>
      <c r="CB63" s="296"/>
      <c r="CC63" s="642"/>
      <c r="CD63" s="306"/>
      <c r="CE63" s="646"/>
      <c r="CF63" s="307"/>
      <c r="CG63" s="301" t="str">
        <f>IFERROR(ROUNDUP(CB63/VLOOKUP(BZ63,bhpc_data[],9,FALSE),0)+ROUNDUP(CD63/VLOOKUP(BZ63,bhpc_data[],9,FALSE),0),"")</f>
        <v/>
      </c>
      <c r="CH63" s="302" t="str">
        <f>IFERROR(ROUNDUP(CD63/VLOOKUP(BZ63,bhpc_data[],9,FALSE),0),"")</f>
        <v/>
      </c>
      <c r="CI63" s="302" t="str">
        <f>IFERROR(ROUNDUP(CF63/VLOOKUP(BZ63,bhpc_data[],9,FALSE),0),"")</f>
        <v/>
      </c>
      <c r="CJ63" s="302" t="str">
        <f>IFERROR(((CB63+CD63+CF63)/VLOOKUP(BZ63,bhpc_data[],9,FALSE))*VLOOKUP(BZ63,bhpc_data[],17,FALSE),"")</f>
        <v/>
      </c>
      <c r="CK63" s="302" t="str">
        <f>IFERROR(((CB63+CD63+CF63)/VLOOKUP(BZ63,bhpc_data[],9,FALSE))*VLOOKUP(BZ63,bhpc_data[],18,FALSE),"")</f>
        <v/>
      </c>
      <c r="CL63" s="346" t="str">
        <f>IFERROR((CB63+CD63)/VLOOKUP(BZ63,bhpc_data[],9,FALSE)*VLOOKUP(BZ63,bhpc_data[],14,FALSE)*VLOOKUP(BZ63,bhpc_data[],15,FALSE)*VLOOKUP(BZ63,bhpc_data[],16,FALSE)/1000000000,"")</f>
        <v/>
      </c>
      <c r="CM63" s="409" t="str">
        <f>IFERROR(VLOOKUP(BZ63,bhpc_data[],2,FALSE),"")</f>
        <v/>
      </c>
      <c r="CN63" s="409" t="str">
        <f>IFERROR(VLOOKUP(BZ63,bhpc_data[],19,FALSE),"")</f>
        <v/>
      </c>
      <c r="CO63" s="653" t="str">
        <f>IFERROR(VLOOKUP(BZ63,bhpc_data[],6,FALSE),"")</f>
        <v/>
      </c>
      <c r="CP63" s="654" t="str">
        <f>IFERROR(VLOOKUP(BZ63,inventory[],4,FALSE),"")</f>
        <v/>
      </c>
      <c r="CQ63" s="651" t="str">
        <f>IFERROR(IF(BZ63="","",IF($BX$15="SALE",VLOOKUP(BZ63,inventory[],5,FALSE),IF($BX$15="SAMPLING",VLOOKUP(BZ63,inventory[],5,FALSE),""))),"")</f>
        <v/>
      </c>
      <c r="CR63" s="652" t="str">
        <f>IFERROR(IF(BZ63="","",(CB63+CD63+CF63)*CQ63),"")</f>
        <v/>
      </c>
      <c r="CS63" s="557" t="str">
        <f>IF(BZ63="","",CB63*CC63+CD63*CE63)</f>
        <v/>
      </c>
      <c r="DA63" s="540" t="str">
        <f>IFERROR(VLOOKUP(BZ63,bhpc_data[],22,FALSE),"")</f>
        <v/>
      </c>
      <c r="EE63" s="454" t="s">
        <v>153</v>
      </c>
      <c r="EF63" s="447" t="str">
        <f>VLOOKUP(EE63,bhpc_data[],7,FALSE)</f>
        <v>BHPC TESTERS ELEGANCE 100ML EDP WOMEN</v>
      </c>
      <c r="EG63" s="555">
        <f>IFERROR(VLOOKUP(EE63,inventory[],4,FALSE),0)</f>
        <v>0</v>
      </c>
      <c r="EH63" s="555">
        <f>IFERROR(VLOOKUP(warehouse[[#This Row],[SKU]],$EQ$10:$ES$38,3,FALSE),0)</f>
        <v>0</v>
      </c>
      <c r="EI63" s="555">
        <f>IFERROR(VLOOKUP(warehouse[[#This Row],[SKU]],$EM$10:$EO$61,3,FALSE),0)</f>
        <v>0</v>
      </c>
      <c r="EJ63" s="555">
        <f>warehouse[[#This Row],[T-1]]+warehouse[[#This Row],[SUPPLY]]-warehouse[[#This Row],[SALE + SAMPLING]]</f>
        <v>0</v>
      </c>
      <c r="EK63" s="449"/>
    </row>
    <row r="64" spans="10:145" ht="15" customHeight="1">
      <c r="BG64"/>
      <c r="BK64" s="146"/>
      <c r="BL64" s="147"/>
      <c r="BM64" s="148"/>
      <c r="BN64" s="147"/>
      <c r="BO64" s="148"/>
      <c r="BZ64" s="305"/>
      <c r="CA64" s="270" t="str">
        <f>IF(BZ64="","",VLOOKUP(BZ64,bhpc_data[],7,FALSE))</f>
        <v/>
      </c>
      <c r="CB64" s="296"/>
      <c r="CC64" s="642"/>
      <c r="CD64" s="306"/>
      <c r="CE64" s="646"/>
      <c r="CF64" s="307"/>
      <c r="CG64" s="301" t="str">
        <f>IFERROR(ROUNDUP(CB64/VLOOKUP(BZ64,bhpc_data[],9,FALSE),0)+ROUNDUP(CD64/VLOOKUP(BZ64,bhpc_data[],9,FALSE),0),"")</f>
        <v/>
      </c>
      <c r="CH64" s="302" t="str">
        <f>IFERROR(ROUNDUP(CD64/VLOOKUP(BZ64,bhpc_data[],9,FALSE),0),"")</f>
        <v/>
      </c>
      <c r="CI64" s="302" t="str">
        <f>IFERROR(ROUNDUP(CF64/VLOOKUP(BZ64,bhpc_data[],9,FALSE),0),"")</f>
        <v/>
      </c>
      <c r="CJ64" s="302" t="str">
        <f>IFERROR(((CB64+CD64+CF64)/VLOOKUP(BZ64,bhpc_data[],9,FALSE))*VLOOKUP(BZ64,bhpc_data[],17,FALSE),"")</f>
        <v/>
      </c>
      <c r="CK64" s="302" t="str">
        <f>IFERROR(((CB64+CD64+CF64)/VLOOKUP(BZ64,bhpc_data[],9,FALSE))*VLOOKUP(BZ64,bhpc_data[],18,FALSE),"")</f>
        <v/>
      </c>
      <c r="CL64" s="346" t="str">
        <f>IFERROR((CB64+CD64)/VLOOKUP(BZ64,bhpc_data[],9,FALSE)*VLOOKUP(BZ64,bhpc_data[],14,FALSE)*VLOOKUP(BZ64,bhpc_data[],15,FALSE)*VLOOKUP(BZ64,bhpc_data[],16,FALSE)/1000000000,"")</f>
        <v/>
      </c>
      <c r="CM64" s="409" t="str">
        <f>IFERROR(VLOOKUP(BZ64,bhpc_data[],2,FALSE),"")</f>
        <v/>
      </c>
      <c r="CN64" s="409" t="str">
        <f>IFERROR(VLOOKUP(BZ64,bhpc_data[],19,FALSE),"")</f>
        <v/>
      </c>
      <c r="CO64" s="653" t="str">
        <f>IFERROR(VLOOKUP(BZ64,bhpc_data[],6,FALSE),"")</f>
        <v/>
      </c>
      <c r="CP64" s="654" t="str">
        <f>IFERROR(VLOOKUP(BZ64,inventory[],4,FALSE),"")</f>
        <v/>
      </c>
      <c r="CQ64" s="651" t="str">
        <f>IFERROR(IF(BZ64="","",IF($BX$15="SALE",VLOOKUP(BZ64,inventory[],5,FALSE),IF($BX$15="SAMPLING",VLOOKUP(BZ64,inventory[],5,FALSE),""))),"")</f>
        <v/>
      </c>
      <c r="CR64" s="652" t="str">
        <f>IFERROR(IF(BZ64="","",(CB64+CD64+CF64)*CQ64),"")</f>
        <v/>
      </c>
      <c r="CS64" s="557" t="str">
        <f>IF(BZ64="","",CB64*CC64+CD64*CE64)</f>
        <v/>
      </c>
      <c r="DA64" s="540" t="str">
        <f>IFERROR(VLOOKUP(BZ64,bhpc_data[],22,FALSE),"")</f>
        <v/>
      </c>
      <c r="EE64" s="454" t="s">
        <v>155</v>
      </c>
      <c r="EF64" s="447" t="str">
        <f>VLOOKUP(EE64,bhpc_data[],7,FALSE)</f>
        <v>BHPC TESTERS CHALLENGE 100ML EDP WOMEN</v>
      </c>
      <c r="EG64" s="555">
        <f>IFERROR(VLOOKUP(EE64,inventory[],4,FALSE),0)</f>
        <v>0</v>
      </c>
      <c r="EH64" s="555">
        <f>IFERROR(VLOOKUP(warehouse[[#This Row],[SKU]],$EQ$10:$ES$38,3,FALSE),0)</f>
        <v>0</v>
      </c>
      <c r="EI64" s="555">
        <f>IFERROR(VLOOKUP(warehouse[[#This Row],[SKU]],$EM$10:$EO$61,3,FALSE),0)</f>
        <v>0</v>
      </c>
      <c r="EJ64" s="555">
        <f>warehouse[[#This Row],[T-1]]+warehouse[[#This Row],[SUPPLY]]-warehouse[[#This Row],[SALE + SAMPLING]]</f>
        <v>0</v>
      </c>
      <c r="EK64" s="449"/>
    </row>
    <row r="65" spans="59:141" ht="15" customHeight="1">
      <c r="BG65"/>
      <c r="BK65" s="146"/>
      <c r="BL65" s="147"/>
      <c r="BM65" s="148"/>
      <c r="BN65" s="147"/>
      <c r="BO65" s="148"/>
      <c r="BZ65" s="305"/>
      <c r="CA65" s="270" t="str">
        <f>IF(BZ65="","",VLOOKUP(BZ65,bhpc_data[],7,FALSE))</f>
        <v/>
      </c>
      <c r="CB65" s="296"/>
      <c r="CC65" s="642"/>
      <c r="CD65" s="306"/>
      <c r="CE65" s="646"/>
      <c r="CF65" s="307"/>
      <c r="CG65" s="301" t="str">
        <f>IFERROR(ROUNDUP(CB65/VLOOKUP(BZ65,bhpc_data[],9,FALSE),0)+ROUNDUP(CD65/VLOOKUP(BZ65,bhpc_data[],9,FALSE),0),"")</f>
        <v/>
      </c>
      <c r="CH65" s="302" t="str">
        <f>IFERROR(ROUNDUP(CD65/VLOOKUP(BZ65,bhpc_data[],9,FALSE),0),"")</f>
        <v/>
      </c>
      <c r="CI65" s="302" t="str">
        <f>IFERROR(ROUNDUP(CF65/VLOOKUP(BZ65,bhpc_data[],9,FALSE),0),"")</f>
        <v/>
      </c>
      <c r="CJ65" s="302" t="str">
        <f>IFERROR(((CB65+CD65+CF65)/VLOOKUP(BZ65,bhpc_data[],9,FALSE))*VLOOKUP(BZ65,bhpc_data[],17,FALSE),"")</f>
        <v/>
      </c>
      <c r="CK65" s="302" t="str">
        <f>IFERROR(((CB65+CD65+CF65)/VLOOKUP(BZ65,bhpc_data[],9,FALSE))*VLOOKUP(BZ65,bhpc_data[],18,FALSE),"")</f>
        <v/>
      </c>
      <c r="CL65" s="346" t="str">
        <f>IFERROR((CB65+CD65)/VLOOKUP(BZ65,bhpc_data[],9,FALSE)*VLOOKUP(BZ65,bhpc_data[],14,FALSE)*VLOOKUP(BZ65,bhpc_data[],15,FALSE)*VLOOKUP(BZ65,bhpc_data[],16,FALSE)/1000000000,"")</f>
        <v/>
      </c>
      <c r="CM65" s="409" t="str">
        <f>IFERROR(VLOOKUP(BZ65,bhpc_data[],2,FALSE),"")</f>
        <v/>
      </c>
      <c r="CN65" s="409" t="str">
        <f>IFERROR(VLOOKUP(BZ65,bhpc_data[],19,FALSE),"")</f>
        <v/>
      </c>
      <c r="CO65" s="653" t="str">
        <f>IFERROR(VLOOKUP(BZ65,bhpc_data[],6,FALSE),"")</f>
        <v/>
      </c>
      <c r="CP65" s="654" t="str">
        <f>IFERROR(VLOOKUP(BZ65,inventory[],4,FALSE),"")</f>
        <v/>
      </c>
      <c r="CQ65" s="651" t="str">
        <f>IFERROR(IF(BZ65="","",IF($BX$15="SALE",VLOOKUP(BZ65,inventory[],5,FALSE),IF($BX$15="SAMPLING",VLOOKUP(BZ65,inventory[],5,FALSE),""))),"")</f>
        <v/>
      </c>
      <c r="CR65" s="652" t="str">
        <f>IFERROR(IF(BZ65="","",(CB65+CD65+CF65)*CQ65),"")</f>
        <v/>
      </c>
      <c r="CS65" s="557" t="str">
        <f>IF(BZ65="","",CB65*CC65+CD65*CE65)</f>
        <v/>
      </c>
      <c r="DA65" s="540" t="str">
        <f>IFERROR(VLOOKUP(BZ65,bhpc_data[],22,FALSE),"")</f>
        <v/>
      </c>
      <c r="EE65" s="454" t="s">
        <v>157</v>
      </c>
      <c r="EF65" s="447" t="str">
        <f>VLOOKUP(EE65,bhpc_data[],7,FALSE)</f>
        <v>BHPC TESTERS MYSTIQUE 100ML EDP WOMEN</v>
      </c>
      <c r="EG65" s="555">
        <f>IFERROR(VLOOKUP(EE65,inventory[],4,FALSE),0)</f>
        <v>0</v>
      </c>
      <c r="EH65" s="555">
        <f>IFERROR(VLOOKUP(warehouse[[#This Row],[SKU]],$EQ$10:$ES$38,3,FALSE),0)</f>
        <v>0</v>
      </c>
      <c r="EI65" s="555">
        <f>IFERROR(VLOOKUP(warehouse[[#This Row],[SKU]],$EM$10:$EO$61,3,FALSE),0)</f>
        <v>0</v>
      </c>
      <c r="EJ65" s="555">
        <f>warehouse[[#This Row],[T-1]]+warehouse[[#This Row],[SUPPLY]]-warehouse[[#This Row],[SALE + SAMPLING]]</f>
        <v>0</v>
      </c>
      <c r="EK65" s="449"/>
    </row>
    <row r="66" spans="59:141" ht="15" customHeight="1">
      <c r="BG66"/>
      <c r="BK66" s="146"/>
      <c r="BL66" s="147"/>
      <c r="BM66" s="148"/>
      <c r="BN66" s="147"/>
      <c r="BO66" s="148"/>
      <c r="BZ66" s="305"/>
      <c r="CA66" s="270" t="str">
        <f>IF(BZ66="","",VLOOKUP(BZ66,bhpc_data[],7,FALSE))</f>
        <v/>
      </c>
      <c r="CB66" s="296"/>
      <c r="CC66" s="642"/>
      <c r="CD66" s="306"/>
      <c r="CE66" s="646"/>
      <c r="CF66" s="307"/>
      <c r="CG66" s="301" t="str">
        <f>IFERROR(ROUNDUP(CB66/VLOOKUP(BZ66,bhpc_data[],9,FALSE),0)+ROUNDUP(CD66/VLOOKUP(BZ66,bhpc_data[],9,FALSE),0),"")</f>
        <v/>
      </c>
      <c r="CH66" s="302" t="str">
        <f>IFERROR(ROUNDUP(CD66/VLOOKUP(BZ66,bhpc_data[],9,FALSE),0),"")</f>
        <v/>
      </c>
      <c r="CI66" s="302" t="str">
        <f>IFERROR(ROUNDUP(CF66/VLOOKUP(BZ66,bhpc_data[],9,FALSE),0),"")</f>
        <v/>
      </c>
      <c r="CJ66" s="302" t="str">
        <f>IFERROR(((CB66+CD66+CF66)/VLOOKUP(BZ66,bhpc_data[],9,FALSE))*VLOOKUP(BZ66,bhpc_data[],17,FALSE),"")</f>
        <v/>
      </c>
      <c r="CK66" s="302" t="str">
        <f>IFERROR(((CB66+CD66+CF66)/VLOOKUP(BZ66,bhpc_data[],9,FALSE))*VLOOKUP(BZ66,bhpc_data[],18,FALSE),"")</f>
        <v/>
      </c>
      <c r="CL66" s="346" t="str">
        <f>IFERROR((CB66+CD66)/VLOOKUP(BZ66,bhpc_data[],9,FALSE)*VLOOKUP(BZ66,bhpc_data[],14,FALSE)*VLOOKUP(BZ66,bhpc_data[],15,FALSE)*VLOOKUP(BZ66,bhpc_data[],16,FALSE)/1000000000,"")</f>
        <v/>
      </c>
      <c r="CM66" s="409" t="str">
        <f>IFERROR(VLOOKUP(BZ66,bhpc_data[],2,FALSE),"")</f>
        <v/>
      </c>
      <c r="CN66" s="409" t="str">
        <f>IFERROR(VLOOKUP(BZ66,bhpc_data[],19,FALSE),"")</f>
        <v/>
      </c>
      <c r="CO66" s="653" t="str">
        <f>IFERROR(VLOOKUP(BZ66,bhpc_data[],6,FALSE),"")</f>
        <v/>
      </c>
      <c r="CP66" s="654" t="str">
        <f>IFERROR(VLOOKUP(BZ66,inventory[],4,FALSE),"")</f>
        <v/>
      </c>
      <c r="CQ66" s="651" t="str">
        <f>IFERROR(IF(BZ66="","",IF($BX$15="SALE",VLOOKUP(BZ66,inventory[],5,FALSE),IF($BX$15="SAMPLING",VLOOKUP(BZ66,inventory[],5,FALSE),""))),"")</f>
        <v/>
      </c>
      <c r="CR66" s="652" t="str">
        <f>IFERROR(IF(BZ66="","",(CB66+CD66+CF66)*CQ66),"")</f>
        <v/>
      </c>
      <c r="CS66" s="557" t="str">
        <f>IF(BZ66="","",CB66*CC66+CD66*CE66)</f>
        <v/>
      </c>
      <c r="DA66" s="540" t="str">
        <f>IFERROR(VLOOKUP(BZ66,bhpc_data[],22,FALSE),"")</f>
        <v/>
      </c>
      <c r="EE66" s="454" t="s">
        <v>159</v>
      </c>
      <c r="EF66" s="447" t="str">
        <f>VLOOKUP(EE66,bhpc_data[],7,FALSE)</f>
        <v>BHPC TESTERS PASSION 100ML EDP WOMEN</v>
      </c>
      <c r="EG66" s="555">
        <f>IFERROR(VLOOKUP(EE66,inventory[],4,FALSE),0)</f>
        <v>0</v>
      </c>
      <c r="EH66" s="555">
        <f>IFERROR(VLOOKUP(warehouse[[#This Row],[SKU]],$EQ$10:$ES$38,3,FALSE),0)</f>
        <v>0</v>
      </c>
      <c r="EI66" s="555">
        <f>IFERROR(VLOOKUP(warehouse[[#This Row],[SKU]],$EM$10:$EO$61,3,FALSE),0)</f>
        <v>0</v>
      </c>
      <c r="EJ66" s="555">
        <f>warehouse[[#This Row],[T-1]]+warehouse[[#This Row],[SUPPLY]]-warehouse[[#This Row],[SALE + SAMPLING]]</f>
        <v>0</v>
      </c>
      <c r="EK66" s="449"/>
    </row>
    <row r="67" spans="59:141" ht="15" customHeight="1">
      <c r="BG67"/>
      <c r="BK67" s="146"/>
      <c r="BL67" s="147"/>
      <c r="BM67" s="148"/>
      <c r="BN67" s="147"/>
      <c r="BO67" s="148"/>
      <c r="BZ67" s="305"/>
      <c r="CA67" s="270" t="str">
        <f>IF(BZ67="","",VLOOKUP(BZ67,bhpc_data[],7,FALSE))</f>
        <v/>
      </c>
      <c r="CB67" s="296"/>
      <c r="CC67" s="642"/>
      <c r="CD67" s="306"/>
      <c r="CE67" s="646"/>
      <c r="CF67" s="307"/>
      <c r="CG67" s="301" t="str">
        <f>IFERROR(ROUNDUP(CB67/VLOOKUP(BZ67,bhpc_data[],9,FALSE),0)+ROUNDUP(CD67/VLOOKUP(BZ67,bhpc_data[],9,FALSE),0),"")</f>
        <v/>
      </c>
      <c r="CH67" s="302" t="str">
        <f>IFERROR(ROUNDUP(CD67/VLOOKUP(BZ67,bhpc_data[],9,FALSE),0),"")</f>
        <v/>
      </c>
      <c r="CI67" s="302" t="str">
        <f>IFERROR(ROUNDUP(CF67/VLOOKUP(BZ67,bhpc_data[],9,FALSE),0),"")</f>
        <v/>
      </c>
      <c r="CJ67" s="302" t="str">
        <f>IFERROR(((CB67+CD67+CF67)/VLOOKUP(BZ67,bhpc_data[],9,FALSE))*VLOOKUP(BZ67,bhpc_data[],17,FALSE),"")</f>
        <v/>
      </c>
      <c r="CK67" s="302" t="str">
        <f>IFERROR(((CB67+CD67+CF67)/VLOOKUP(BZ67,bhpc_data[],9,FALSE))*VLOOKUP(BZ67,bhpc_data[],18,FALSE),"")</f>
        <v/>
      </c>
      <c r="CL67" s="346" t="str">
        <f>IFERROR((CB67+CD67)/VLOOKUP(BZ67,bhpc_data[],9,FALSE)*VLOOKUP(BZ67,bhpc_data[],14,FALSE)*VLOOKUP(BZ67,bhpc_data[],15,FALSE)*VLOOKUP(BZ67,bhpc_data[],16,FALSE)/1000000000,"")</f>
        <v/>
      </c>
      <c r="CM67" s="409" t="str">
        <f>IFERROR(VLOOKUP(BZ67,bhpc_data[],2,FALSE),"")</f>
        <v/>
      </c>
      <c r="CN67" s="409" t="str">
        <f>IFERROR(VLOOKUP(BZ67,bhpc_data[],19,FALSE),"")</f>
        <v/>
      </c>
      <c r="CO67" s="653" t="str">
        <f>IFERROR(VLOOKUP(BZ67,bhpc_data[],6,FALSE),"")</f>
        <v/>
      </c>
      <c r="CP67" s="654" t="str">
        <f>IFERROR(VLOOKUP(BZ67,inventory[],4,FALSE),"")</f>
        <v/>
      </c>
      <c r="CQ67" s="651" t="str">
        <f>IFERROR(IF(BZ67="","",IF($BX$15="SALE",VLOOKUP(BZ67,inventory[],5,FALSE),IF($BX$15="SAMPLING",VLOOKUP(BZ67,inventory[],5,FALSE),""))),"")</f>
        <v/>
      </c>
      <c r="CR67" s="652" t="str">
        <f>IFERROR(IF(BZ67="","",(CB67+CD67+CF67)*CQ67),"")</f>
        <v/>
      </c>
      <c r="CS67" s="557" t="str">
        <f>IF(BZ67="","",CB67*CC67+CD67*CE67)</f>
        <v/>
      </c>
      <c r="DA67" s="540" t="str">
        <f>IFERROR(VLOOKUP(BZ67,bhpc_data[],22,FALSE),"")</f>
        <v/>
      </c>
      <c r="EE67" s="454" t="s">
        <v>161</v>
      </c>
      <c r="EF67" s="447" t="str">
        <f>VLOOKUP(EE67,bhpc_data[],7,FALSE)</f>
        <v>BHPC PRESTIGE KNIGHT 100ML EDP MEN</v>
      </c>
      <c r="EG67" s="555">
        <f>IFERROR(VLOOKUP(EE67,inventory[],4,FALSE),0)</f>
        <v>1767</v>
      </c>
      <c r="EH67" s="555">
        <f>IFERROR(VLOOKUP(warehouse[[#This Row],[SKU]],$EQ$10:$ES$38,3,FALSE),0)</f>
        <v>6553</v>
      </c>
      <c r="EI67" s="555">
        <f>IFERROR(VLOOKUP(warehouse[[#This Row],[SKU]],$EM$10:$EO$61,3,FALSE),0)</f>
        <v>6177</v>
      </c>
      <c r="EJ67" s="555">
        <f>warehouse[[#This Row],[T-1]]+warehouse[[#This Row],[SUPPLY]]-warehouse[[#This Row],[SALE + SAMPLING]]</f>
        <v>2143</v>
      </c>
      <c r="EK67" s="449"/>
    </row>
    <row r="68" spans="59:141" ht="15" customHeight="1">
      <c r="BG68"/>
      <c r="BK68" s="146"/>
      <c r="BL68" s="147"/>
      <c r="BM68" s="148"/>
      <c r="BN68" s="147"/>
      <c r="BO68" s="148"/>
      <c r="BZ68" s="305"/>
      <c r="CA68" s="270" t="str">
        <f>IF(BZ68="","",VLOOKUP(BZ68,bhpc_data[],7,FALSE))</f>
        <v/>
      </c>
      <c r="CB68" s="296"/>
      <c r="CC68" s="642"/>
      <c r="CD68" s="306"/>
      <c r="CE68" s="646"/>
      <c r="CF68" s="307"/>
      <c r="CG68" s="301" t="str">
        <f>IFERROR(ROUNDUP(CB68/VLOOKUP(BZ68,bhpc_data[],9,FALSE),0)+ROUNDUP(CD68/VLOOKUP(BZ68,bhpc_data[],9,FALSE),0),"")</f>
        <v/>
      </c>
      <c r="CH68" s="302" t="str">
        <f>IFERROR(ROUNDUP(CD68/VLOOKUP(BZ68,bhpc_data[],9,FALSE),0),"")</f>
        <v/>
      </c>
      <c r="CI68" s="302" t="str">
        <f>IFERROR(ROUNDUP(CF68/VLOOKUP(BZ68,bhpc_data[],9,FALSE),0),"")</f>
        <v/>
      </c>
      <c r="CJ68" s="302" t="str">
        <f>IFERROR(((CB68+CD68+CF68)/VLOOKUP(BZ68,bhpc_data[],9,FALSE))*VLOOKUP(BZ68,bhpc_data[],17,FALSE),"")</f>
        <v/>
      </c>
      <c r="CK68" s="302" t="str">
        <f>IFERROR(((CB68+CD68+CF68)/VLOOKUP(BZ68,bhpc_data[],9,FALSE))*VLOOKUP(BZ68,bhpc_data[],18,FALSE),"")</f>
        <v/>
      </c>
      <c r="CL68" s="346" t="str">
        <f>IFERROR((CB68+CD68)/VLOOKUP(BZ68,bhpc_data[],9,FALSE)*VLOOKUP(BZ68,bhpc_data[],14,FALSE)*VLOOKUP(BZ68,bhpc_data[],15,FALSE)*VLOOKUP(BZ68,bhpc_data[],16,FALSE)/1000000000,"")</f>
        <v/>
      </c>
      <c r="CM68" s="409" t="str">
        <f>IFERROR(VLOOKUP(BZ68,bhpc_data[],2,FALSE),"")</f>
        <v/>
      </c>
      <c r="CN68" s="409" t="str">
        <f>IFERROR(VLOOKUP(BZ68,bhpc_data[],19,FALSE),"")</f>
        <v/>
      </c>
      <c r="CO68" s="653" t="str">
        <f>IFERROR(VLOOKUP(BZ68,bhpc_data[],6,FALSE),"")</f>
        <v/>
      </c>
      <c r="CP68" s="654" t="str">
        <f>IFERROR(VLOOKUP(BZ68,inventory[],4,FALSE),"")</f>
        <v/>
      </c>
      <c r="CQ68" s="651" t="str">
        <f>IFERROR(IF(BZ68="","",IF($BX$15="SALE",VLOOKUP(BZ68,inventory[],5,FALSE),IF($BX$15="SAMPLING",VLOOKUP(BZ68,inventory[],5,FALSE),""))),"")</f>
        <v/>
      </c>
      <c r="CR68" s="652" t="str">
        <f>IFERROR(IF(BZ68="","",(CB68+CD68+CF68)*CQ68),"")</f>
        <v/>
      </c>
      <c r="CS68" s="557" t="str">
        <f>IF(BZ68="","",CB68*CC68+CD68*CE68)</f>
        <v/>
      </c>
      <c r="DA68" s="540" t="str">
        <f>IFERROR(VLOOKUP(BZ68,bhpc_data[],22,FALSE),"")</f>
        <v/>
      </c>
      <c r="EE68" s="454" t="s">
        <v>163</v>
      </c>
      <c r="EF68" s="447" t="str">
        <f>VLOOKUP(EE68,bhpc_data[],7,FALSE)</f>
        <v>BHPC PRESTIGE ROYALE 100ML EDP MEN</v>
      </c>
      <c r="EG68" s="555">
        <f>IFERROR(VLOOKUP(EE68,inventory[],4,FALSE),0)</f>
        <v>1474</v>
      </c>
      <c r="EH68" s="555">
        <f>IFERROR(VLOOKUP(warehouse[[#This Row],[SKU]],$EQ$10:$ES$38,3,FALSE),0)</f>
        <v>6371</v>
      </c>
      <c r="EI68" s="555">
        <f>IFERROR(VLOOKUP(warehouse[[#This Row],[SKU]],$EM$10:$EO$61,3,FALSE),0)</f>
        <v>6177</v>
      </c>
      <c r="EJ68" s="555">
        <f>warehouse[[#This Row],[T-1]]+warehouse[[#This Row],[SUPPLY]]-warehouse[[#This Row],[SALE + SAMPLING]]</f>
        <v>1668</v>
      </c>
      <c r="EK68" s="449"/>
    </row>
    <row r="69" spans="59:141" ht="15" customHeight="1">
      <c r="BG69"/>
      <c r="BK69" s="146"/>
      <c r="BL69" s="147"/>
      <c r="BM69" s="148"/>
      <c r="BN69" s="147"/>
      <c r="BO69" s="148"/>
      <c r="BZ69" s="305"/>
      <c r="CA69" s="270" t="str">
        <f>IF(BZ69="","",VLOOKUP(BZ69,bhpc_data[],7,FALSE))</f>
        <v/>
      </c>
      <c r="CB69" s="296"/>
      <c r="CC69" s="642"/>
      <c r="CD69" s="306"/>
      <c r="CE69" s="646"/>
      <c r="CF69" s="307"/>
      <c r="CG69" s="301" t="str">
        <f>IFERROR(ROUNDUP(CB69/VLOOKUP(BZ69,bhpc_data[],9,FALSE),0)+ROUNDUP(CD69/VLOOKUP(BZ69,bhpc_data[],9,FALSE),0),"")</f>
        <v/>
      </c>
      <c r="CH69" s="302" t="str">
        <f>IFERROR(ROUNDUP(CD69/VLOOKUP(BZ69,bhpc_data[],9,FALSE),0),"")</f>
        <v/>
      </c>
      <c r="CI69" s="302" t="str">
        <f>IFERROR(ROUNDUP(CF69/VLOOKUP(BZ69,bhpc_data[],9,FALSE),0),"")</f>
        <v/>
      </c>
      <c r="CJ69" s="302" t="str">
        <f>IFERROR(((CB69+CD69+CF69)/VLOOKUP(BZ69,bhpc_data[],9,FALSE))*VLOOKUP(BZ69,bhpc_data[],17,FALSE),"")</f>
        <v/>
      </c>
      <c r="CK69" s="302" t="str">
        <f>IFERROR(((CB69+CD69+CF69)/VLOOKUP(BZ69,bhpc_data[],9,FALSE))*VLOOKUP(BZ69,bhpc_data[],18,FALSE),"")</f>
        <v/>
      </c>
      <c r="CL69" s="346" t="str">
        <f>IFERROR((CB69+CD69)/VLOOKUP(BZ69,bhpc_data[],9,FALSE)*VLOOKUP(BZ69,bhpc_data[],14,FALSE)*VLOOKUP(BZ69,bhpc_data[],15,FALSE)*VLOOKUP(BZ69,bhpc_data[],16,FALSE)/1000000000,"")</f>
        <v/>
      </c>
      <c r="CM69" s="409" t="str">
        <f>IFERROR(VLOOKUP(BZ69,bhpc_data[],2,FALSE),"")</f>
        <v/>
      </c>
      <c r="CN69" s="409" t="str">
        <f>IFERROR(VLOOKUP(BZ69,bhpc_data[],19,FALSE),"")</f>
        <v/>
      </c>
      <c r="CO69" s="653" t="str">
        <f>IFERROR(VLOOKUP(BZ69,bhpc_data[],6,FALSE),"")</f>
        <v/>
      </c>
      <c r="CP69" s="654" t="str">
        <f>IFERROR(VLOOKUP(BZ69,inventory[],4,FALSE),"")</f>
        <v/>
      </c>
      <c r="CQ69" s="651" t="str">
        <f>IFERROR(IF(BZ69="","",IF($BX$15="SALE",VLOOKUP(BZ69,inventory[],5,FALSE),IF($BX$15="SAMPLING",VLOOKUP(BZ69,inventory[],5,FALSE),""))),"")</f>
        <v/>
      </c>
      <c r="CR69" s="652" t="str">
        <f>IFERROR(IF(BZ69="","",(CB69+CD69+CF69)*CQ69),"")</f>
        <v/>
      </c>
      <c r="CS69" s="557" t="str">
        <f>IF(BZ69="","",CB69*CC69+CD69*CE69)</f>
        <v/>
      </c>
      <c r="DA69" s="540" t="str">
        <f>IFERROR(VLOOKUP(BZ69,bhpc_data[],22,FALSE),"")</f>
        <v/>
      </c>
      <c r="EE69" s="454" t="s">
        <v>165</v>
      </c>
      <c r="EF69" s="447" t="str">
        <f>VLOOKUP(EE69,bhpc_data[],7,FALSE)</f>
        <v>BHPC TESTERS KNIGHT 100ML EDP MEN</v>
      </c>
      <c r="EG69" s="555">
        <f>IFERROR(VLOOKUP(EE69,inventory[],4,FALSE),0)</f>
        <v>912</v>
      </c>
      <c r="EH69" s="555">
        <f>IFERROR(VLOOKUP(warehouse[[#This Row],[SKU]],$EQ$10:$ES$38,3,FALSE),0)</f>
        <v>1128</v>
      </c>
      <c r="EI69" s="555">
        <f>IFERROR(VLOOKUP(warehouse[[#This Row],[SKU]],$EM$10:$EO$61,3,FALSE),0)</f>
        <v>226</v>
      </c>
      <c r="EJ69" s="555">
        <f>warehouse[[#This Row],[T-1]]+warehouse[[#This Row],[SUPPLY]]-warehouse[[#This Row],[SALE + SAMPLING]]</f>
        <v>1814</v>
      </c>
      <c r="EK69" s="449"/>
    </row>
    <row r="70" spans="59:141" ht="15" customHeight="1">
      <c r="BG70"/>
      <c r="BK70" s="146"/>
      <c r="BL70" s="147"/>
      <c r="BM70" s="148"/>
      <c r="BN70" s="147"/>
      <c r="BO70" s="148"/>
      <c r="BZ70" s="305"/>
      <c r="CA70" s="270" t="str">
        <f>IF(BZ70="","",VLOOKUP(BZ70,bhpc_data[],7,FALSE))</f>
        <v/>
      </c>
      <c r="CB70" s="296"/>
      <c r="CC70" s="642"/>
      <c r="CD70" s="306"/>
      <c r="CE70" s="646"/>
      <c r="CF70" s="307"/>
      <c r="CG70" s="301" t="str">
        <f>IFERROR(ROUNDUP(CB70/VLOOKUP(BZ70,bhpc_data[],9,FALSE),0)+ROUNDUP(CD70/VLOOKUP(BZ70,bhpc_data[],9,FALSE),0),"")</f>
        <v/>
      </c>
      <c r="CH70" s="302" t="str">
        <f>IFERROR(ROUNDUP(CD70/VLOOKUP(BZ70,bhpc_data[],9,FALSE),0),"")</f>
        <v/>
      </c>
      <c r="CI70" s="302" t="str">
        <f>IFERROR(ROUNDUP(CF70/VLOOKUP(BZ70,bhpc_data[],9,FALSE),0),"")</f>
        <v/>
      </c>
      <c r="CJ70" s="302" t="str">
        <f>IFERROR(((CB70+CD70+CF70)/VLOOKUP(BZ70,bhpc_data[],9,FALSE))*VLOOKUP(BZ70,bhpc_data[],17,FALSE),"")</f>
        <v/>
      </c>
      <c r="CK70" s="302" t="str">
        <f>IFERROR(((CB70+CD70+CF70)/VLOOKUP(BZ70,bhpc_data[],9,FALSE))*VLOOKUP(BZ70,bhpc_data[],18,FALSE),"")</f>
        <v/>
      </c>
      <c r="CL70" s="346" t="str">
        <f>IFERROR((CB70+CD70)/VLOOKUP(BZ70,bhpc_data[],9,FALSE)*VLOOKUP(BZ70,bhpc_data[],14,FALSE)*VLOOKUP(BZ70,bhpc_data[],15,FALSE)*VLOOKUP(BZ70,bhpc_data[],16,FALSE)/1000000000,"")</f>
        <v/>
      </c>
      <c r="CM70" s="409" t="str">
        <f>IFERROR(VLOOKUP(BZ70,bhpc_data[],2,FALSE),"")</f>
        <v/>
      </c>
      <c r="CN70" s="409" t="str">
        <f>IFERROR(VLOOKUP(BZ70,bhpc_data[],19,FALSE),"")</f>
        <v/>
      </c>
      <c r="CO70" s="653" t="str">
        <f>IFERROR(VLOOKUP(BZ70,bhpc_data[],6,FALSE),"")</f>
        <v/>
      </c>
      <c r="CP70" s="654" t="str">
        <f>IFERROR(VLOOKUP(BZ70,inventory[],4,FALSE),"")</f>
        <v/>
      </c>
      <c r="CQ70" s="651" t="str">
        <f>IFERROR(IF(BZ70="","",IF($BX$15="SALE",VLOOKUP(BZ70,inventory[],5,FALSE),IF($BX$15="SAMPLING",VLOOKUP(BZ70,inventory[],5,FALSE),""))),"")</f>
        <v/>
      </c>
      <c r="CR70" s="652" t="str">
        <f>IFERROR(IF(BZ70="","",(CB70+CD70+CF70)*CQ70),"")</f>
        <v/>
      </c>
      <c r="CS70" s="557" t="str">
        <f>IF(BZ70="","",CB70*CC70+CD70*CE70)</f>
        <v/>
      </c>
      <c r="DA70" s="540" t="str">
        <f>IFERROR(VLOOKUP(BZ70,bhpc_data[],22,FALSE),"")</f>
        <v/>
      </c>
      <c r="EE70" s="454" t="s">
        <v>167</v>
      </c>
      <c r="EF70" s="447" t="str">
        <f>VLOOKUP(EE70,bhpc_data[],7,FALSE)</f>
        <v>BHPC TESTERS ROYALE 100ML EDP MEN</v>
      </c>
      <c r="EG70" s="555">
        <f>IFERROR(VLOOKUP(EE70,inventory[],4,FALSE),0)</f>
        <v>912</v>
      </c>
      <c r="EH70" s="555">
        <f>IFERROR(VLOOKUP(warehouse[[#This Row],[SKU]],$EQ$10:$ES$38,3,FALSE),0)</f>
        <v>1131</v>
      </c>
      <c r="EI70" s="555">
        <f>IFERROR(VLOOKUP(warehouse[[#This Row],[SKU]],$EM$10:$EO$61,3,FALSE),0)</f>
        <v>226</v>
      </c>
      <c r="EJ70" s="555">
        <f>warehouse[[#This Row],[T-1]]+warehouse[[#This Row],[SUPPLY]]-warehouse[[#This Row],[SALE + SAMPLING]]</f>
        <v>1817</v>
      </c>
      <c r="EK70" s="449"/>
    </row>
    <row r="71" spans="59:141" ht="15" customHeight="1">
      <c r="BG71"/>
      <c r="BK71" s="146"/>
      <c r="BL71" s="147"/>
      <c r="BM71" s="148"/>
      <c r="BN71" s="147"/>
      <c r="BO71" s="148"/>
      <c r="BZ71" s="305"/>
      <c r="CA71" s="270" t="str">
        <f>IF(BZ71="","",VLOOKUP(BZ71,bhpc_data[],7,FALSE))</f>
        <v/>
      </c>
      <c r="CB71" s="296"/>
      <c r="CC71" s="642"/>
      <c r="CD71" s="306"/>
      <c r="CE71" s="646"/>
      <c r="CF71" s="307"/>
      <c r="CG71" s="301" t="str">
        <f>IFERROR(ROUNDUP(CB71/VLOOKUP(BZ71,bhpc_data[],9,FALSE),0)+ROUNDUP(CD71/VLOOKUP(BZ71,bhpc_data[],9,FALSE),0),"")</f>
        <v/>
      </c>
      <c r="CH71" s="302" t="str">
        <f>IFERROR(ROUNDUP(CD71/VLOOKUP(BZ71,bhpc_data[],9,FALSE),0),"")</f>
        <v/>
      </c>
      <c r="CI71" s="302" t="str">
        <f>IFERROR(ROUNDUP(CF71/VLOOKUP(BZ71,bhpc_data[],9,FALSE),0),"")</f>
        <v/>
      </c>
      <c r="CJ71" s="302" t="str">
        <f>IFERROR(((CB71+CD71+CF71)/VLOOKUP(BZ71,bhpc_data[],9,FALSE))*VLOOKUP(BZ71,bhpc_data[],17,FALSE),"")</f>
        <v/>
      </c>
      <c r="CK71" s="302" t="str">
        <f>IFERROR(((CB71+CD71+CF71)/VLOOKUP(BZ71,bhpc_data[],9,FALSE))*VLOOKUP(BZ71,bhpc_data[],18,FALSE),"")</f>
        <v/>
      </c>
      <c r="CL71" s="346" t="str">
        <f>IFERROR((CB71+CD71)/VLOOKUP(BZ71,bhpc_data[],9,FALSE)*VLOOKUP(BZ71,bhpc_data[],14,FALSE)*VLOOKUP(BZ71,bhpc_data[],15,FALSE)*VLOOKUP(BZ71,bhpc_data[],16,FALSE)/1000000000,"")</f>
        <v/>
      </c>
      <c r="CM71" s="409" t="str">
        <f>IFERROR(VLOOKUP(BZ71,bhpc_data[],2,FALSE),"")</f>
        <v/>
      </c>
      <c r="CN71" s="409" t="str">
        <f>IFERROR(VLOOKUP(BZ71,bhpc_data[],19,FALSE),"")</f>
        <v/>
      </c>
      <c r="CO71" s="653" t="str">
        <f>IFERROR(VLOOKUP(BZ71,bhpc_data[],6,FALSE),"")</f>
        <v/>
      </c>
      <c r="CP71" s="654" t="str">
        <f>IFERROR(VLOOKUP(BZ71,inventory[],4,FALSE),"")</f>
        <v/>
      </c>
      <c r="CQ71" s="651" t="str">
        <f>IFERROR(IF(BZ71="","",IF($BX$15="SALE",VLOOKUP(BZ71,inventory[],5,FALSE),IF($BX$15="SAMPLING",VLOOKUP(BZ71,inventory[],5,FALSE),""))),"")</f>
        <v/>
      </c>
      <c r="CR71" s="652" t="str">
        <f>IFERROR(IF(BZ71="","",(CB71+CD71+CF71)*CQ71),"")</f>
        <v/>
      </c>
      <c r="CS71" s="557" t="str">
        <f>IF(BZ71="","",CB71*CC71+CD71*CE71)</f>
        <v/>
      </c>
      <c r="DA71" s="540" t="str">
        <f>IFERROR(VLOOKUP(BZ71,bhpc_data[],22,FALSE),"")</f>
        <v/>
      </c>
      <c r="EE71" s="454" t="s">
        <v>169</v>
      </c>
      <c r="EF71" s="447" t="str">
        <f>VLOOKUP(EE71,bhpc_data[],7,FALSE)</f>
        <v>BHPC WOMEN 1 DEO 150ML</v>
      </c>
      <c r="EG71" s="555">
        <f>IFERROR(VLOOKUP(EE71,inventory[],4,FALSE),0)</f>
        <v>19498</v>
      </c>
      <c r="EH71" s="555">
        <f>IFERROR(VLOOKUP(warehouse[[#This Row],[SKU]],$EQ$10:$ES$38,3,FALSE),0)</f>
        <v>3840</v>
      </c>
      <c r="EI71" s="555">
        <f>IFERROR(VLOOKUP(warehouse[[#This Row],[SKU]],$EM$10:$EO$61,3,FALSE),0)</f>
        <v>0</v>
      </c>
      <c r="EJ71" s="555">
        <f>warehouse[[#This Row],[T-1]]+warehouse[[#This Row],[SUPPLY]]-warehouse[[#This Row],[SALE + SAMPLING]]</f>
        <v>23338</v>
      </c>
      <c r="EK71" s="449"/>
    </row>
    <row r="72" spans="59:141" ht="15" customHeight="1">
      <c r="BG72"/>
      <c r="BK72" s="146"/>
      <c r="BL72" s="147"/>
      <c r="BM72" s="148"/>
      <c r="BN72" s="147"/>
      <c r="BO72" s="148"/>
      <c r="BZ72" s="305"/>
      <c r="CA72" s="270" t="str">
        <f>IF(BZ72="","",VLOOKUP(BZ72,bhpc_data[],7,FALSE))</f>
        <v/>
      </c>
      <c r="CB72" s="296"/>
      <c r="CC72" s="642"/>
      <c r="CD72" s="306"/>
      <c r="CE72" s="646"/>
      <c r="CF72" s="307"/>
      <c r="CG72" s="301" t="str">
        <f>IFERROR(ROUNDUP(CB72/VLOOKUP(BZ72,bhpc_data[],9,FALSE),0)+ROUNDUP(CD72/VLOOKUP(BZ72,bhpc_data[],9,FALSE),0),"")</f>
        <v/>
      </c>
      <c r="CH72" s="302" t="str">
        <f>IFERROR(ROUNDUP(CD72/VLOOKUP(BZ72,bhpc_data[],9,FALSE),0),"")</f>
        <v/>
      </c>
      <c r="CI72" s="302" t="str">
        <f>IFERROR(ROUNDUP(CF72/VLOOKUP(BZ72,bhpc_data[],9,FALSE),0),"")</f>
        <v/>
      </c>
      <c r="CJ72" s="302" t="str">
        <f>IFERROR(((CB72+CD72+CF72)/VLOOKUP(BZ72,bhpc_data[],9,FALSE))*VLOOKUP(BZ72,bhpc_data[],17,FALSE),"")</f>
        <v/>
      </c>
      <c r="CK72" s="302" t="str">
        <f>IFERROR(((CB72+CD72+CF72)/VLOOKUP(BZ72,bhpc_data[],9,FALSE))*VLOOKUP(BZ72,bhpc_data[],18,FALSE),"")</f>
        <v/>
      </c>
      <c r="CL72" s="346" t="str">
        <f>IFERROR((CB72+CD72)/VLOOKUP(BZ72,bhpc_data[],9,FALSE)*VLOOKUP(BZ72,bhpc_data[],14,FALSE)*VLOOKUP(BZ72,bhpc_data[],15,FALSE)*VLOOKUP(BZ72,bhpc_data[],16,FALSE)/1000000000,"")</f>
        <v/>
      </c>
      <c r="CM72" s="409" t="str">
        <f>IFERROR(VLOOKUP(BZ72,bhpc_data[],2,FALSE),"")</f>
        <v/>
      </c>
      <c r="CN72" s="409" t="str">
        <f>IFERROR(VLOOKUP(BZ72,bhpc_data[],19,FALSE),"")</f>
        <v/>
      </c>
      <c r="CO72" s="653" t="str">
        <f>IFERROR(VLOOKUP(BZ72,bhpc_data[],6,FALSE),"")</f>
        <v/>
      </c>
      <c r="CP72" s="654" t="str">
        <f>IFERROR(VLOOKUP(BZ72,inventory[],4,FALSE),"")</f>
        <v/>
      </c>
      <c r="CQ72" s="651" t="str">
        <f>IFERROR(IF(BZ72="","",IF($BX$15="SALE",VLOOKUP(BZ72,inventory[],5,FALSE),IF($BX$15="SAMPLING",VLOOKUP(BZ72,inventory[],5,FALSE),""))),"")</f>
        <v/>
      </c>
      <c r="CR72" s="652" t="str">
        <f>IFERROR(IF(BZ72="","",(CB72+CD72+CF72)*CQ72),"")</f>
        <v/>
      </c>
      <c r="CS72" s="557" t="str">
        <f>IF(BZ72="","",CB72*CC72+CD72*CE72)</f>
        <v/>
      </c>
      <c r="DA72" s="540" t="str">
        <f>IFERROR(VLOOKUP(BZ72,bhpc_data[],22,FALSE),"")</f>
        <v/>
      </c>
      <c r="EE72" s="454" t="s">
        <v>174</v>
      </c>
      <c r="EF72" s="447" t="str">
        <f>VLOOKUP(EE72,bhpc_data[],7,FALSE)</f>
        <v>BHPC WOMEN 9 DEO 150ML</v>
      </c>
      <c r="EG72" s="555">
        <f>IFERROR(VLOOKUP(EE72,inventory[],4,FALSE),0)</f>
        <v>25051</v>
      </c>
      <c r="EH72" s="555">
        <f>IFERROR(VLOOKUP(warehouse[[#This Row],[SKU]],$EQ$10:$ES$38,3,FALSE),0)</f>
        <v>0</v>
      </c>
      <c r="EI72" s="555">
        <f>IFERROR(VLOOKUP(warehouse[[#This Row],[SKU]],$EM$10:$EO$61,3,FALSE),0)</f>
        <v>0</v>
      </c>
      <c r="EJ72" s="555">
        <f>warehouse[[#This Row],[T-1]]+warehouse[[#This Row],[SUPPLY]]-warehouse[[#This Row],[SALE + SAMPLING]]</f>
        <v>25051</v>
      </c>
      <c r="EK72" s="449"/>
    </row>
    <row r="73" spans="59:141" ht="15" customHeight="1">
      <c r="BG73"/>
      <c r="BK73" s="146"/>
      <c r="BL73" s="147"/>
      <c r="BM73" s="148"/>
      <c r="BN73" s="147"/>
      <c r="BO73" s="148"/>
      <c r="BZ73" s="305"/>
      <c r="CA73" s="270" t="str">
        <f>IF(BZ73="","",VLOOKUP(BZ73,bhpc_data[],7,FALSE))</f>
        <v/>
      </c>
      <c r="CB73" s="296"/>
      <c r="CC73" s="642"/>
      <c r="CD73" s="306"/>
      <c r="CE73" s="646"/>
      <c r="CF73" s="307"/>
      <c r="CG73" s="301" t="str">
        <f>IFERROR(ROUNDUP(CB73/VLOOKUP(BZ73,bhpc_data[],9,FALSE),0)+ROUNDUP(CD73/VLOOKUP(BZ73,bhpc_data[],9,FALSE),0),"")</f>
        <v/>
      </c>
      <c r="CH73" s="302" t="str">
        <f>IFERROR(ROUNDUP(CD73/VLOOKUP(BZ73,bhpc_data[],9,FALSE),0),"")</f>
        <v/>
      </c>
      <c r="CI73" s="302" t="str">
        <f>IFERROR(ROUNDUP(CF73/VLOOKUP(BZ73,bhpc_data[],9,FALSE),0),"")</f>
        <v/>
      </c>
      <c r="CJ73" s="302" t="str">
        <f>IFERROR(((CB73+CD73+CF73)/VLOOKUP(BZ73,bhpc_data[],9,FALSE))*VLOOKUP(BZ73,bhpc_data[],17,FALSE),"")</f>
        <v/>
      </c>
      <c r="CK73" s="302" t="str">
        <f>IFERROR(((CB73+CD73+CF73)/VLOOKUP(BZ73,bhpc_data[],9,FALSE))*VLOOKUP(BZ73,bhpc_data[],18,FALSE),"")</f>
        <v/>
      </c>
      <c r="CL73" s="346" t="str">
        <f>IFERROR((CB73+CD73)/VLOOKUP(BZ73,bhpc_data[],9,FALSE)*VLOOKUP(BZ73,bhpc_data[],14,FALSE)*VLOOKUP(BZ73,bhpc_data[],15,FALSE)*VLOOKUP(BZ73,bhpc_data[],16,FALSE)/1000000000,"")</f>
        <v/>
      </c>
      <c r="CM73" s="409" t="str">
        <f>IFERROR(VLOOKUP(BZ73,bhpc_data[],2,FALSE),"")</f>
        <v/>
      </c>
      <c r="CN73" s="409" t="str">
        <f>IFERROR(VLOOKUP(BZ73,bhpc_data[],19,FALSE),"")</f>
        <v/>
      </c>
      <c r="CO73" s="653" t="str">
        <f>IFERROR(VLOOKUP(BZ73,bhpc_data[],6,FALSE),"")</f>
        <v/>
      </c>
      <c r="CP73" s="654" t="str">
        <f>IFERROR(VLOOKUP(BZ73,inventory[],4,FALSE),"")</f>
        <v/>
      </c>
      <c r="CQ73" s="651" t="str">
        <f>IFERROR(IF(BZ73="","",IF($BX$15="SALE",VLOOKUP(BZ73,inventory[],5,FALSE),IF($BX$15="SAMPLING",VLOOKUP(BZ73,inventory[],5,FALSE),""))),"")</f>
        <v/>
      </c>
      <c r="CR73" s="652" t="str">
        <f>IFERROR(IF(BZ73="","",(CB73+CD73+CF73)*CQ73),"")</f>
        <v/>
      </c>
      <c r="CS73" s="557" t="str">
        <f>IF(BZ73="","",CB73*CC73+CD73*CE73)</f>
        <v/>
      </c>
      <c r="DA73" s="540" t="str">
        <f>IFERROR(VLOOKUP(BZ73,bhpc_data[],22,FALSE),"")</f>
        <v/>
      </c>
      <c r="EE73" s="454" t="s">
        <v>176</v>
      </c>
      <c r="EF73" s="447" t="str">
        <f>VLOOKUP(EE73,bhpc_data[],7,FALSE)</f>
        <v>BHPC WOMEN 8 DEO 150ML</v>
      </c>
      <c r="EG73" s="555">
        <f>IFERROR(VLOOKUP(EE73,inventory[],4,FALSE),0)</f>
        <v>20448</v>
      </c>
      <c r="EH73" s="555">
        <f>IFERROR(VLOOKUP(warehouse[[#This Row],[SKU]],$EQ$10:$ES$38,3,FALSE),0)</f>
        <v>0</v>
      </c>
      <c r="EI73" s="555">
        <f>IFERROR(VLOOKUP(warehouse[[#This Row],[SKU]],$EM$10:$EO$61,3,FALSE),0)</f>
        <v>10728</v>
      </c>
      <c r="EJ73" s="555">
        <f>warehouse[[#This Row],[T-1]]+warehouse[[#This Row],[SUPPLY]]-warehouse[[#This Row],[SALE + SAMPLING]]</f>
        <v>9720</v>
      </c>
      <c r="EK73" s="449"/>
    </row>
    <row r="74" spans="59:141" ht="15" customHeight="1">
      <c r="BG74"/>
      <c r="BK74" s="146"/>
      <c r="BL74" s="147"/>
      <c r="BM74" s="148"/>
      <c r="BN74" s="147"/>
      <c r="BO74" s="148"/>
      <c r="BZ74" s="305"/>
      <c r="CA74" s="270" t="str">
        <f>IF(BZ74="","",VLOOKUP(BZ74,bhpc_data[],7,FALSE))</f>
        <v/>
      </c>
      <c r="CB74" s="296"/>
      <c r="CC74" s="642"/>
      <c r="CD74" s="306"/>
      <c r="CE74" s="646"/>
      <c r="CF74" s="307"/>
      <c r="CG74" s="301" t="str">
        <f>IFERROR(ROUNDUP(CB74/VLOOKUP(BZ74,bhpc_data[],9,FALSE),0)+ROUNDUP(CD74/VLOOKUP(BZ74,bhpc_data[],9,FALSE),0),"")</f>
        <v/>
      </c>
      <c r="CH74" s="302" t="str">
        <f>IFERROR(ROUNDUP(CD74/VLOOKUP(BZ74,bhpc_data[],9,FALSE),0),"")</f>
        <v/>
      </c>
      <c r="CI74" s="302" t="str">
        <f>IFERROR(ROUNDUP(CF74/VLOOKUP(BZ74,bhpc_data[],9,FALSE),0),"")</f>
        <v/>
      </c>
      <c r="CJ74" s="302" t="str">
        <f>IFERROR(((CB74+CD74+CF74)/VLOOKUP(BZ74,bhpc_data[],9,FALSE))*VLOOKUP(BZ74,bhpc_data[],17,FALSE),"")</f>
        <v/>
      </c>
      <c r="CK74" s="302" t="str">
        <f>IFERROR(((CB74+CD74+CF74)/VLOOKUP(BZ74,bhpc_data[],9,FALSE))*VLOOKUP(BZ74,bhpc_data[],18,FALSE),"")</f>
        <v/>
      </c>
      <c r="CL74" s="346" t="str">
        <f>IFERROR((CB74+CD74)/VLOOKUP(BZ74,bhpc_data[],9,FALSE)*VLOOKUP(BZ74,bhpc_data[],14,FALSE)*VLOOKUP(BZ74,bhpc_data[],15,FALSE)*VLOOKUP(BZ74,bhpc_data[],16,FALSE)/1000000000,"")</f>
        <v/>
      </c>
      <c r="CM74" s="409" t="str">
        <f>IFERROR(VLOOKUP(BZ74,bhpc_data[],2,FALSE),"")</f>
        <v/>
      </c>
      <c r="CN74" s="409" t="str">
        <f>IFERROR(VLOOKUP(BZ74,bhpc_data[],19,FALSE),"")</f>
        <v/>
      </c>
      <c r="CO74" s="653" t="str">
        <f>IFERROR(VLOOKUP(BZ74,bhpc_data[],6,FALSE),"")</f>
        <v/>
      </c>
      <c r="CP74" s="654" t="str">
        <f>IFERROR(VLOOKUP(BZ74,inventory[],4,FALSE),"")</f>
        <v/>
      </c>
      <c r="CQ74" s="651" t="str">
        <f>IFERROR(IF(BZ74="","",IF($BX$15="SALE",VLOOKUP(BZ74,inventory[],5,FALSE),IF($BX$15="SAMPLING",VLOOKUP(BZ74,inventory[],5,FALSE),""))),"")</f>
        <v/>
      </c>
      <c r="CR74" s="652" t="str">
        <f>IFERROR(IF(BZ74="","",(CB74+CD74+CF74)*CQ74),"")</f>
        <v/>
      </c>
      <c r="CS74" s="557" t="str">
        <f>IF(BZ74="","",CB74*CC74+CD74*CE74)</f>
        <v/>
      </c>
      <c r="DA74" s="540" t="str">
        <f>IFERROR(VLOOKUP(BZ74,bhpc_data[],22,FALSE),"")</f>
        <v/>
      </c>
      <c r="EE74" s="454" t="s">
        <v>178</v>
      </c>
      <c r="EF74" s="447" t="str">
        <f>VLOOKUP(EE74,bhpc_data[],7,FALSE)</f>
        <v>BHPC WOMEN 2 DEO 150ML</v>
      </c>
      <c r="EG74" s="555">
        <f>IFERROR(VLOOKUP(EE74,inventory[],4,FALSE),0)</f>
        <v>23767</v>
      </c>
      <c r="EH74" s="555">
        <f>IFERROR(VLOOKUP(warehouse[[#This Row],[SKU]],$EQ$10:$ES$38,3,FALSE),0)</f>
        <v>0</v>
      </c>
      <c r="EI74" s="555">
        <f>IFERROR(VLOOKUP(warehouse[[#This Row],[SKU]],$EM$10:$EO$61,3,FALSE),0)</f>
        <v>0</v>
      </c>
      <c r="EJ74" s="555">
        <f>warehouse[[#This Row],[T-1]]+warehouse[[#This Row],[SUPPLY]]-warehouse[[#This Row],[SALE + SAMPLING]]</f>
        <v>23767</v>
      </c>
      <c r="EK74" s="449"/>
    </row>
    <row r="75" spans="59:141" ht="15" customHeight="1">
      <c r="BG75"/>
      <c r="BK75" s="146"/>
      <c r="BL75" s="147"/>
      <c r="BM75" s="148"/>
      <c r="BN75" s="147"/>
      <c r="BO75" s="148"/>
      <c r="BZ75" s="305"/>
      <c r="CA75" s="270" t="str">
        <f>IF(BZ75="","",VLOOKUP(BZ75,bhpc_data[],7,FALSE))</f>
        <v/>
      </c>
      <c r="CB75" s="296"/>
      <c r="CC75" s="642"/>
      <c r="CD75" s="306"/>
      <c r="CE75" s="646"/>
      <c r="CF75" s="307"/>
      <c r="CG75" s="301" t="str">
        <f>IFERROR(ROUNDUP(CB75/VLOOKUP(BZ75,bhpc_data[],9,FALSE),0)+ROUNDUP(CD75/VLOOKUP(BZ75,bhpc_data[],9,FALSE),0),"")</f>
        <v/>
      </c>
      <c r="CH75" s="302" t="str">
        <f>IFERROR(ROUNDUP(CD75/VLOOKUP(BZ75,bhpc_data[],9,FALSE),0),"")</f>
        <v/>
      </c>
      <c r="CI75" s="302" t="str">
        <f>IFERROR(ROUNDUP(CF75/VLOOKUP(BZ75,bhpc_data[],9,FALSE),0),"")</f>
        <v/>
      </c>
      <c r="CJ75" s="302" t="str">
        <f>IFERROR(((CB75+CD75+CF75)/VLOOKUP(BZ75,bhpc_data[],9,FALSE))*VLOOKUP(BZ75,bhpc_data[],17,FALSE),"")</f>
        <v/>
      </c>
      <c r="CK75" s="302" t="str">
        <f>IFERROR(((CB75+CD75+CF75)/VLOOKUP(BZ75,bhpc_data[],9,FALSE))*VLOOKUP(BZ75,bhpc_data[],18,FALSE),"")</f>
        <v/>
      </c>
      <c r="CL75" s="346" t="str">
        <f>IFERROR((CB75+CD75)/VLOOKUP(BZ75,bhpc_data[],9,FALSE)*VLOOKUP(BZ75,bhpc_data[],14,FALSE)*VLOOKUP(BZ75,bhpc_data[],15,FALSE)*VLOOKUP(BZ75,bhpc_data[],16,FALSE)/1000000000,"")</f>
        <v/>
      </c>
      <c r="CM75" s="409" t="str">
        <f>IFERROR(VLOOKUP(BZ75,bhpc_data[],2,FALSE),"")</f>
        <v/>
      </c>
      <c r="CN75" s="409" t="str">
        <f>IFERROR(VLOOKUP(BZ75,bhpc_data[],19,FALSE),"")</f>
        <v/>
      </c>
      <c r="CO75" s="653" t="str">
        <f>IFERROR(VLOOKUP(BZ75,bhpc_data[],6,FALSE),"")</f>
        <v/>
      </c>
      <c r="CP75" s="654" t="str">
        <f>IFERROR(VLOOKUP(BZ75,inventory[],4,FALSE),"")</f>
        <v/>
      </c>
      <c r="CQ75" s="651" t="str">
        <f>IFERROR(IF(BZ75="","",IF($BX$15="SALE",VLOOKUP(BZ75,inventory[],5,FALSE),IF($BX$15="SAMPLING",VLOOKUP(BZ75,inventory[],5,FALSE),""))),"")</f>
        <v/>
      </c>
      <c r="CR75" s="652" t="str">
        <f>IFERROR(IF(BZ75="","",(CB75+CD75+CF75)*CQ75),"")</f>
        <v/>
      </c>
      <c r="CS75" s="557" t="str">
        <f>IF(BZ75="","",CB75*CC75+CD75*CE75)</f>
        <v/>
      </c>
      <c r="DA75" s="540" t="str">
        <f>IFERROR(VLOOKUP(BZ75,bhpc_data[],22,FALSE),"")</f>
        <v/>
      </c>
      <c r="EE75" s="454" t="s">
        <v>180</v>
      </c>
      <c r="EF75" s="447" t="str">
        <f>VLOOKUP(EE75,bhpc_data[],7,FALSE)</f>
        <v>BHPC SPORT MEN 1 DEO 175ML</v>
      </c>
      <c r="EG75" s="555">
        <f>IFERROR(VLOOKUP(EE75,inventory[],4,FALSE),0)</f>
        <v>9572</v>
      </c>
      <c r="EH75" s="555">
        <f>IFERROR(VLOOKUP(warehouse[[#This Row],[SKU]],$EQ$10:$ES$38,3,FALSE),0)</f>
        <v>4512</v>
      </c>
      <c r="EI75" s="555">
        <f>IFERROR(VLOOKUP(warehouse[[#This Row],[SKU]],$EM$10:$EO$61,3,FALSE),0)</f>
        <v>10368</v>
      </c>
      <c r="EJ75" s="555">
        <f>warehouse[[#This Row],[T-1]]+warehouse[[#This Row],[SUPPLY]]-warehouse[[#This Row],[SALE + SAMPLING]]</f>
        <v>3716</v>
      </c>
      <c r="EK75" s="449"/>
    </row>
    <row r="76" spans="59:141" ht="15" customHeight="1">
      <c r="BG76"/>
      <c r="BK76" s="146"/>
      <c r="BL76" s="147"/>
      <c r="BM76" s="148"/>
      <c r="BN76" s="147"/>
      <c r="BO76" s="148"/>
      <c r="BZ76" s="305"/>
      <c r="CA76" s="270" t="str">
        <f>IF(BZ76="","",VLOOKUP(BZ76,bhpc_data[],7,FALSE))</f>
        <v/>
      </c>
      <c r="CB76" s="296"/>
      <c r="CC76" s="642"/>
      <c r="CD76" s="306"/>
      <c r="CE76" s="646"/>
      <c r="CF76" s="307"/>
      <c r="CG76" s="301" t="str">
        <f>IFERROR(ROUNDUP(CB76/VLOOKUP(BZ76,bhpc_data[],9,FALSE),0)+ROUNDUP(CD76/VLOOKUP(BZ76,bhpc_data[],9,FALSE),0),"")</f>
        <v/>
      </c>
      <c r="CH76" s="302" t="str">
        <f>IFERROR(ROUNDUP(CD76/VLOOKUP(BZ76,bhpc_data[],9,FALSE),0),"")</f>
        <v/>
      </c>
      <c r="CI76" s="302" t="str">
        <f>IFERROR(ROUNDUP(CF76/VLOOKUP(BZ76,bhpc_data[],9,FALSE),0),"")</f>
        <v/>
      </c>
      <c r="CJ76" s="302" t="str">
        <f>IFERROR(((CB76+CD76+CF76)/VLOOKUP(BZ76,bhpc_data[],9,FALSE))*VLOOKUP(BZ76,bhpc_data[],17,FALSE),"")</f>
        <v/>
      </c>
      <c r="CK76" s="302" t="str">
        <f>IFERROR(((CB76+CD76+CF76)/VLOOKUP(BZ76,bhpc_data[],9,FALSE))*VLOOKUP(BZ76,bhpc_data[],18,FALSE),"")</f>
        <v/>
      </c>
      <c r="CL76" s="346" t="str">
        <f>IFERROR((CB76+CD76)/VLOOKUP(BZ76,bhpc_data[],9,FALSE)*VLOOKUP(BZ76,bhpc_data[],14,FALSE)*VLOOKUP(BZ76,bhpc_data[],15,FALSE)*VLOOKUP(BZ76,bhpc_data[],16,FALSE)/1000000000,"")</f>
        <v/>
      </c>
      <c r="CM76" s="409" t="str">
        <f>IFERROR(VLOOKUP(BZ76,bhpc_data[],2,FALSE),"")</f>
        <v/>
      </c>
      <c r="CN76" s="409" t="str">
        <f>IFERROR(VLOOKUP(BZ76,bhpc_data[],19,FALSE),"")</f>
        <v/>
      </c>
      <c r="CO76" s="653" t="str">
        <f>IFERROR(VLOOKUP(BZ76,bhpc_data[],6,FALSE),"")</f>
        <v/>
      </c>
      <c r="CP76" s="654" t="str">
        <f>IFERROR(VLOOKUP(BZ76,inventory[],4,FALSE),"")</f>
        <v/>
      </c>
      <c r="CQ76" s="651" t="str">
        <f>IFERROR(IF(BZ76="","",IF($BX$15="SALE",VLOOKUP(BZ76,inventory[],5,FALSE),IF($BX$15="SAMPLING",VLOOKUP(BZ76,inventory[],5,FALSE),""))),"")</f>
        <v/>
      </c>
      <c r="CR76" s="652" t="str">
        <f>IFERROR(IF(BZ76="","",(CB76+CD76+CF76)*CQ76),"")</f>
        <v/>
      </c>
      <c r="CS76" s="557" t="str">
        <f>IF(BZ76="","",CB76*CC76+CD76*CE76)</f>
        <v/>
      </c>
      <c r="DA76" s="540" t="str">
        <f>IFERROR(VLOOKUP(BZ76,bhpc_data[],22,FALSE),"")</f>
        <v/>
      </c>
      <c r="EE76" s="454" t="s">
        <v>182</v>
      </c>
      <c r="EF76" s="447" t="str">
        <f>VLOOKUP(EE76,bhpc_data[],7,FALSE)</f>
        <v>BHPC SPORT MEN 9 DEO 175ML</v>
      </c>
      <c r="EG76" s="555">
        <f>IFERROR(VLOOKUP(EE76,inventory[],4,FALSE),0)</f>
        <v>9823</v>
      </c>
      <c r="EH76" s="555">
        <f>IFERROR(VLOOKUP(warehouse[[#This Row],[SKU]],$EQ$10:$ES$38,3,FALSE),0)</f>
        <v>4656</v>
      </c>
      <c r="EI76" s="555">
        <f>IFERROR(VLOOKUP(warehouse[[#This Row],[SKU]],$EM$10:$EO$61,3,FALSE),0)</f>
        <v>10368</v>
      </c>
      <c r="EJ76" s="555">
        <f>warehouse[[#This Row],[T-1]]+warehouse[[#This Row],[SUPPLY]]-warehouse[[#This Row],[SALE + SAMPLING]]</f>
        <v>4111</v>
      </c>
      <c r="EK76" s="449"/>
    </row>
    <row r="77" spans="59:141" ht="15" customHeight="1">
      <c r="BG77"/>
      <c r="BK77" s="146"/>
      <c r="BL77" s="147"/>
      <c r="BM77" s="148"/>
      <c r="BN77" s="147"/>
      <c r="BO77" s="148"/>
      <c r="BZ77" s="305"/>
      <c r="CA77" s="270" t="str">
        <f>IF(BZ77="","",VLOOKUP(BZ77,bhpc_data[],7,FALSE))</f>
        <v/>
      </c>
      <c r="CB77" s="296"/>
      <c r="CC77" s="642"/>
      <c r="CD77" s="306"/>
      <c r="CE77" s="646"/>
      <c r="CF77" s="307"/>
      <c r="CG77" s="301" t="str">
        <f>IFERROR(ROUNDUP(CB77/VLOOKUP(BZ77,bhpc_data[],9,FALSE),0)+ROUNDUP(CD77/VLOOKUP(BZ77,bhpc_data[],9,FALSE),0),"")</f>
        <v/>
      </c>
      <c r="CH77" s="302" t="str">
        <f>IFERROR(ROUNDUP(CD77/VLOOKUP(BZ77,bhpc_data[],9,FALSE),0),"")</f>
        <v/>
      </c>
      <c r="CI77" s="302" t="str">
        <f>IFERROR(ROUNDUP(CF77/VLOOKUP(BZ77,bhpc_data[],9,FALSE),0),"")</f>
        <v/>
      </c>
      <c r="CJ77" s="302" t="str">
        <f>IFERROR(((CB77+CD77+CF77)/VLOOKUP(BZ77,bhpc_data[],9,FALSE))*VLOOKUP(BZ77,bhpc_data[],17,FALSE),"")</f>
        <v/>
      </c>
      <c r="CK77" s="302" t="str">
        <f>IFERROR(((CB77+CD77+CF77)/VLOOKUP(BZ77,bhpc_data[],9,FALSE))*VLOOKUP(BZ77,bhpc_data[],18,FALSE),"")</f>
        <v/>
      </c>
      <c r="CL77" s="346" t="str">
        <f>IFERROR((CB77+CD77)/VLOOKUP(BZ77,bhpc_data[],9,FALSE)*VLOOKUP(BZ77,bhpc_data[],14,FALSE)*VLOOKUP(BZ77,bhpc_data[],15,FALSE)*VLOOKUP(BZ77,bhpc_data[],16,FALSE)/1000000000,"")</f>
        <v/>
      </c>
      <c r="CM77" s="409" t="str">
        <f>IFERROR(VLOOKUP(BZ77,bhpc_data[],2,FALSE),"")</f>
        <v/>
      </c>
      <c r="CN77" s="409" t="str">
        <f>IFERROR(VLOOKUP(BZ77,bhpc_data[],19,FALSE),"")</f>
        <v/>
      </c>
      <c r="CO77" s="653" t="str">
        <f>IFERROR(VLOOKUP(BZ77,bhpc_data[],6,FALSE),"")</f>
        <v/>
      </c>
      <c r="CP77" s="654" t="str">
        <f>IFERROR(VLOOKUP(BZ77,inventory[],4,FALSE),"")</f>
        <v/>
      </c>
      <c r="CQ77" s="651" t="str">
        <f>IFERROR(IF(BZ77="","",IF($BX$15="SALE",VLOOKUP(BZ77,inventory[],5,FALSE),IF($BX$15="SAMPLING",VLOOKUP(BZ77,inventory[],5,FALSE),""))),"")</f>
        <v/>
      </c>
      <c r="CR77" s="652" t="str">
        <f>IFERROR(IF(BZ77="","",(CB77+CD77+CF77)*CQ77),"")</f>
        <v/>
      </c>
      <c r="CS77" s="557" t="str">
        <f>IF(BZ77="","",CB77*CC77+CD77*CE77)</f>
        <v/>
      </c>
      <c r="DA77" s="540" t="str">
        <f>IFERROR(VLOOKUP(BZ77,bhpc_data[],22,FALSE),"")</f>
        <v/>
      </c>
      <c r="EE77" s="454" t="s">
        <v>184</v>
      </c>
      <c r="EF77" s="447" t="str">
        <f>VLOOKUP(EE77,bhpc_data[],7,FALSE)</f>
        <v>BHPC SPORT MEN 8 DEO 175ML</v>
      </c>
      <c r="EG77" s="555">
        <f>IFERROR(VLOOKUP(EE77,inventory[],4,FALSE),0)</f>
        <v>9828</v>
      </c>
      <c r="EH77" s="555">
        <f>IFERROR(VLOOKUP(warehouse[[#This Row],[SKU]],$EQ$10:$ES$38,3,FALSE),0)</f>
        <v>5088</v>
      </c>
      <c r="EI77" s="555">
        <f>IFERROR(VLOOKUP(warehouse[[#This Row],[SKU]],$EM$10:$EO$61,3,FALSE),0)</f>
        <v>10368</v>
      </c>
      <c r="EJ77" s="555">
        <f>warehouse[[#This Row],[T-1]]+warehouse[[#This Row],[SUPPLY]]-warehouse[[#This Row],[SALE + SAMPLING]]</f>
        <v>4548</v>
      </c>
      <c r="EK77" s="449"/>
    </row>
    <row r="78" spans="59:141" ht="15" customHeight="1">
      <c r="BG78"/>
      <c r="BK78" s="146"/>
      <c r="BL78" s="147"/>
      <c r="BM78" s="148"/>
      <c r="BN78" s="147"/>
      <c r="BO78" s="148"/>
      <c r="BZ78" s="305"/>
      <c r="CA78" s="270" t="str">
        <f>IF(BZ78="","",VLOOKUP(BZ78,bhpc_data[],7,FALSE))</f>
        <v/>
      </c>
      <c r="CB78" s="296"/>
      <c r="CC78" s="642"/>
      <c r="CD78" s="306"/>
      <c r="CE78" s="646"/>
      <c r="CF78" s="307"/>
      <c r="CG78" s="301" t="str">
        <f>IFERROR(ROUNDUP(CB78/VLOOKUP(BZ78,bhpc_data[],9,FALSE),0)+ROUNDUP(CD78/VLOOKUP(BZ78,bhpc_data[],9,FALSE),0),"")</f>
        <v/>
      </c>
      <c r="CH78" s="302" t="str">
        <f>IFERROR(ROUNDUP(CD78/VLOOKUP(BZ78,bhpc_data[],9,FALSE),0),"")</f>
        <v/>
      </c>
      <c r="CI78" s="302" t="str">
        <f>IFERROR(ROUNDUP(CF78/VLOOKUP(BZ78,bhpc_data[],9,FALSE),0),"")</f>
        <v/>
      </c>
      <c r="CJ78" s="302" t="str">
        <f>IFERROR(((CB78+CD78+CF78)/VLOOKUP(BZ78,bhpc_data[],9,FALSE))*VLOOKUP(BZ78,bhpc_data[],17,FALSE),"")</f>
        <v/>
      </c>
      <c r="CK78" s="302" t="str">
        <f>IFERROR(((CB78+CD78+CF78)/VLOOKUP(BZ78,bhpc_data[],9,FALSE))*VLOOKUP(BZ78,bhpc_data[],18,FALSE),"")</f>
        <v/>
      </c>
      <c r="CL78" s="346" t="str">
        <f>IFERROR((CB78+CD78)/VLOOKUP(BZ78,bhpc_data[],9,FALSE)*VLOOKUP(BZ78,bhpc_data[],14,FALSE)*VLOOKUP(BZ78,bhpc_data[],15,FALSE)*VLOOKUP(BZ78,bhpc_data[],16,FALSE)/1000000000,"")</f>
        <v/>
      </c>
      <c r="CM78" s="409" t="str">
        <f>IFERROR(VLOOKUP(BZ78,bhpc_data[],2,FALSE),"")</f>
        <v/>
      </c>
      <c r="CN78" s="409" t="str">
        <f>IFERROR(VLOOKUP(BZ78,bhpc_data[],19,FALSE),"")</f>
        <v/>
      </c>
      <c r="CO78" s="653" t="str">
        <f>IFERROR(VLOOKUP(BZ78,bhpc_data[],6,FALSE),"")</f>
        <v/>
      </c>
      <c r="CP78" s="654" t="str">
        <f>IFERROR(VLOOKUP(BZ78,inventory[],4,FALSE),"")</f>
        <v/>
      </c>
      <c r="CQ78" s="651" t="str">
        <f>IFERROR(IF(BZ78="","",IF($BX$15="SALE",VLOOKUP(BZ78,inventory[],5,FALSE),IF($BX$15="SAMPLING",VLOOKUP(BZ78,inventory[],5,FALSE),""))),"")</f>
        <v/>
      </c>
      <c r="CR78" s="652" t="str">
        <f>IFERROR(IF(BZ78="","",(CB78+CD78+CF78)*CQ78),"")</f>
        <v/>
      </c>
      <c r="CS78" s="557" t="str">
        <f>IF(BZ78="","",CB78*CC78+CD78*CE78)</f>
        <v/>
      </c>
      <c r="DA78" s="540" t="str">
        <f>IFERROR(VLOOKUP(BZ78,bhpc_data[],22,FALSE),"")</f>
        <v/>
      </c>
      <c r="EE78" s="454" t="s">
        <v>186</v>
      </c>
      <c r="EF78" s="447" t="str">
        <f>VLOOKUP(EE78,bhpc_data[],7,FALSE)</f>
        <v>BHPC SPORT MEN 2 DEO 175ML</v>
      </c>
      <c r="EG78" s="555">
        <f>IFERROR(VLOOKUP(EE78,inventory[],4,FALSE),0)</f>
        <v>9401</v>
      </c>
      <c r="EH78" s="555">
        <f>IFERROR(VLOOKUP(warehouse[[#This Row],[SKU]],$EQ$10:$ES$38,3,FALSE),0)</f>
        <v>3504</v>
      </c>
      <c r="EI78" s="555">
        <f>IFERROR(VLOOKUP(warehouse[[#This Row],[SKU]],$EM$10:$EO$61,3,FALSE),0)</f>
        <v>10368</v>
      </c>
      <c r="EJ78" s="555">
        <f>warehouse[[#This Row],[T-1]]+warehouse[[#This Row],[SUPPLY]]-warehouse[[#This Row],[SALE + SAMPLING]]</f>
        <v>2537</v>
      </c>
      <c r="EK78" s="449"/>
    </row>
    <row r="79" spans="59:141" ht="15" customHeight="1">
      <c r="BG79"/>
      <c r="BK79" s="146"/>
      <c r="BL79" s="147"/>
      <c r="BM79" s="148"/>
      <c r="BN79" s="147"/>
      <c r="BO79" s="148"/>
      <c r="BZ79" s="305"/>
      <c r="CA79" s="270" t="str">
        <f>IF(BZ79="","",VLOOKUP(BZ79,bhpc_data[],7,FALSE))</f>
        <v/>
      </c>
      <c r="CB79" s="296"/>
      <c r="CC79" s="642"/>
      <c r="CD79" s="306"/>
      <c r="CE79" s="646"/>
      <c r="CF79" s="307"/>
      <c r="CG79" s="301" t="str">
        <f>IFERROR(ROUNDUP(CB79/VLOOKUP(BZ79,bhpc_data[],9,FALSE),0)+ROUNDUP(CD79/VLOOKUP(BZ79,bhpc_data[],9,FALSE),0),"")</f>
        <v/>
      </c>
      <c r="CH79" s="302" t="str">
        <f>IFERROR(ROUNDUP(CD79/VLOOKUP(BZ79,bhpc_data[],9,FALSE),0),"")</f>
        <v/>
      </c>
      <c r="CI79" s="302" t="str">
        <f>IFERROR(ROUNDUP(CF79/VLOOKUP(BZ79,bhpc_data[],9,FALSE),0),"")</f>
        <v/>
      </c>
      <c r="CJ79" s="302" t="str">
        <f>IFERROR(((CB79+CD79+CF79)/VLOOKUP(BZ79,bhpc_data[],9,FALSE))*VLOOKUP(BZ79,bhpc_data[],17,FALSE),"")</f>
        <v/>
      </c>
      <c r="CK79" s="302" t="str">
        <f>IFERROR(((CB79+CD79+CF79)/VLOOKUP(BZ79,bhpc_data[],9,FALSE))*VLOOKUP(BZ79,bhpc_data[],18,FALSE),"")</f>
        <v/>
      </c>
      <c r="CL79" s="346" t="str">
        <f>IFERROR((CB79+CD79)/VLOOKUP(BZ79,bhpc_data[],9,FALSE)*VLOOKUP(BZ79,bhpc_data[],14,FALSE)*VLOOKUP(BZ79,bhpc_data[],15,FALSE)*VLOOKUP(BZ79,bhpc_data[],16,FALSE)/1000000000,"")</f>
        <v/>
      </c>
      <c r="CM79" s="409" t="str">
        <f>IFERROR(VLOOKUP(BZ79,bhpc_data[],2,FALSE),"")</f>
        <v/>
      </c>
      <c r="CN79" s="409" t="str">
        <f>IFERROR(VLOOKUP(BZ79,bhpc_data[],19,FALSE),"")</f>
        <v/>
      </c>
      <c r="CO79" s="653" t="str">
        <f>IFERROR(VLOOKUP(BZ79,bhpc_data[],6,FALSE),"")</f>
        <v/>
      </c>
      <c r="CP79" s="654" t="str">
        <f>IFERROR(VLOOKUP(BZ79,inventory[],4,FALSE),"")</f>
        <v/>
      </c>
      <c r="CQ79" s="651" t="str">
        <f>IFERROR(IF(BZ79="","",IF($BX$15="SALE",VLOOKUP(BZ79,inventory[],5,FALSE),IF($BX$15="SAMPLING",VLOOKUP(BZ79,inventory[],5,FALSE),""))),"")</f>
        <v/>
      </c>
      <c r="CR79" s="652" t="str">
        <f>IFERROR(IF(BZ79="","",(CB79+CD79+CF79)*CQ79),"")</f>
        <v/>
      </c>
      <c r="CS79" s="557" t="str">
        <f>IF(BZ79="","",CB79*CC79+CD79*CE79)</f>
        <v/>
      </c>
      <c r="DA79" s="540" t="str">
        <f>IFERROR(VLOOKUP(BZ79,bhpc_data[],22,FALSE),"")</f>
        <v/>
      </c>
      <c r="EE79" s="454" t="s">
        <v>188</v>
      </c>
      <c r="EF79" s="447" t="str">
        <f>VLOOKUP(EE79,bhpc_data[],7,FALSE)</f>
        <v>BHPC WOMEN BODY MIST #1 EVOKING GARDENIA 200ML</v>
      </c>
      <c r="EG79" s="555">
        <f>IFERROR(VLOOKUP(EE79,inventory[],4,FALSE),0)</f>
        <v>2970</v>
      </c>
      <c r="EH79" s="555">
        <f>IFERROR(VLOOKUP(warehouse[[#This Row],[SKU]],$EQ$10:$ES$38,3,FALSE),0)</f>
        <v>6720</v>
      </c>
      <c r="EI79" s="555">
        <f>IFERROR(VLOOKUP(warehouse[[#This Row],[SKU]],$EM$10:$EO$61,3,FALSE),0)</f>
        <v>153</v>
      </c>
      <c r="EJ79" s="555">
        <f>warehouse[[#This Row],[T-1]]+warehouse[[#This Row],[SUPPLY]]-warehouse[[#This Row],[SALE + SAMPLING]]</f>
        <v>9537</v>
      </c>
      <c r="EK79" s="449"/>
    </row>
    <row r="80" spans="59:141" ht="15" customHeight="1">
      <c r="BG80"/>
      <c r="BK80" s="146"/>
      <c r="BL80" s="147"/>
      <c r="BM80" s="148"/>
      <c r="BN80" s="147"/>
      <c r="BO80" s="148"/>
      <c r="BZ80" s="305"/>
      <c r="CA80" s="270" t="str">
        <f>IF(BZ80="","",VLOOKUP(BZ80,bhpc_data[],7,FALSE))</f>
        <v/>
      </c>
      <c r="CB80" s="296"/>
      <c r="CC80" s="642"/>
      <c r="CD80" s="306"/>
      <c r="CE80" s="646"/>
      <c r="CF80" s="307"/>
      <c r="CG80" s="301" t="str">
        <f>IFERROR(ROUNDUP(CB80/VLOOKUP(BZ80,bhpc_data[],9,FALSE),0)+ROUNDUP(CD80/VLOOKUP(BZ80,bhpc_data[],9,FALSE),0),"")</f>
        <v/>
      </c>
      <c r="CH80" s="302" t="str">
        <f>IFERROR(ROUNDUP(CD80/VLOOKUP(BZ80,bhpc_data[],9,FALSE),0),"")</f>
        <v/>
      </c>
      <c r="CI80" s="302" t="str">
        <f>IFERROR(ROUNDUP(CF80/VLOOKUP(BZ80,bhpc_data[],9,FALSE),0),"")</f>
        <v/>
      </c>
      <c r="CJ80" s="302" t="str">
        <f>IFERROR(((CB80+CD80+CF80)/VLOOKUP(BZ80,bhpc_data[],9,FALSE))*VLOOKUP(BZ80,bhpc_data[],17,FALSE),"")</f>
        <v/>
      </c>
      <c r="CK80" s="302" t="str">
        <f>IFERROR(((CB80+CD80+CF80)/VLOOKUP(BZ80,bhpc_data[],9,FALSE))*VLOOKUP(BZ80,bhpc_data[],18,FALSE),"")</f>
        <v/>
      </c>
      <c r="CL80" s="346" t="str">
        <f>IFERROR((CB80+CD80)/VLOOKUP(BZ80,bhpc_data[],9,FALSE)*VLOOKUP(BZ80,bhpc_data[],14,FALSE)*VLOOKUP(BZ80,bhpc_data[],15,FALSE)*VLOOKUP(BZ80,bhpc_data[],16,FALSE)/1000000000,"")</f>
        <v/>
      </c>
      <c r="CM80" s="409" t="str">
        <f>IFERROR(VLOOKUP(BZ80,bhpc_data[],2,FALSE),"")</f>
        <v/>
      </c>
      <c r="CN80" s="409" t="str">
        <f>IFERROR(VLOOKUP(BZ80,bhpc_data[],19,FALSE),"")</f>
        <v/>
      </c>
      <c r="CO80" s="653" t="str">
        <f>IFERROR(VLOOKUP(BZ80,bhpc_data[],6,FALSE),"")</f>
        <v/>
      </c>
      <c r="CP80" s="654" t="str">
        <f>IFERROR(VLOOKUP(BZ80,inventory[],4,FALSE),"")</f>
        <v/>
      </c>
      <c r="CQ80" s="651" t="str">
        <f>IFERROR(IF(BZ80="","",IF($BX$15="SALE",VLOOKUP(BZ80,inventory[],5,FALSE),IF($BX$15="SAMPLING",VLOOKUP(BZ80,inventory[],5,FALSE),""))),"")</f>
        <v/>
      </c>
      <c r="CR80" s="652" t="str">
        <f>IFERROR(IF(BZ80="","",(CB80+CD80+CF80)*CQ80),"")</f>
        <v/>
      </c>
      <c r="CS80" s="557" t="str">
        <f>IF(BZ80="","",CB80*CC80+CD80*CE80)</f>
        <v/>
      </c>
      <c r="DA80" s="540" t="str">
        <f>IFERROR(VLOOKUP(BZ80,bhpc_data[],22,FALSE),"")</f>
        <v/>
      </c>
      <c r="EE80" s="454" t="s">
        <v>193</v>
      </c>
      <c r="EF80" s="447" t="str">
        <f>VLOOKUP(EE80,bhpc_data[],7,FALSE)</f>
        <v>BHPC WOMEN BODY MIST #2 CLASSIC FOUGERE 200ML</v>
      </c>
      <c r="EG80" s="555">
        <f>IFERROR(VLOOKUP(EE80,inventory[],4,FALSE),0)</f>
        <v>666</v>
      </c>
      <c r="EH80" s="555">
        <f>IFERROR(VLOOKUP(warehouse[[#This Row],[SKU]],$EQ$10:$ES$38,3,FALSE),0)</f>
        <v>6720</v>
      </c>
      <c r="EI80" s="555">
        <f>IFERROR(VLOOKUP(warehouse[[#This Row],[SKU]],$EM$10:$EO$61,3,FALSE),0)</f>
        <v>151</v>
      </c>
      <c r="EJ80" s="555">
        <f>warehouse[[#This Row],[T-1]]+warehouse[[#This Row],[SUPPLY]]-warehouse[[#This Row],[SALE + SAMPLING]]</f>
        <v>7235</v>
      </c>
      <c r="EK80" s="449"/>
    </row>
    <row r="81" spans="59:141" ht="15" customHeight="1">
      <c r="BG81"/>
      <c r="BK81" s="146"/>
      <c r="BL81" s="147"/>
      <c r="BM81" s="148"/>
      <c r="BN81" s="147"/>
      <c r="BO81" s="148"/>
      <c r="BZ81" s="305"/>
      <c r="CA81" s="270" t="str">
        <f>IF(BZ81="","",VLOOKUP(BZ81,bhpc_data[],7,FALSE))</f>
        <v/>
      </c>
      <c r="CB81" s="296"/>
      <c r="CC81" s="642"/>
      <c r="CD81" s="306"/>
      <c r="CE81" s="646"/>
      <c r="CF81" s="307"/>
      <c r="CG81" s="301" t="str">
        <f>IFERROR(ROUNDUP(CB81/VLOOKUP(BZ81,bhpc_data[],9,FALSE),0)+ROUNDUP(CD81/VLOOKUP(BZ81,bhpc_data[],9,FALSE),0),"")</f>
        <v/>
      </c>
      <c r="CH81" s="302" t="str">
        <f>IFERROR(ROUNDUP(CD81/VLOOKUP(BZ81,bhpc_data[],9,FALSE),0),"")</f>
        <v/>
      </c>
      <c r="CI81" s="302" t="str">
        <f>IFERROR(ROUNDUP(CF81/VLOOKUP(BZ81,bhpc_data[],9,FALSE),0),"")</f>
        <v/>
      </c>
      <c r="CJ81" s="302" t="str">
        <f>IFERROR(((CB81+CD81+CF81)/VLOOKUP(BZ81,bhpc_data[],9,FALSE))*VLOOKUP(BZ81,bhpc_data[],17,FALSE),"")</f>
        <v/>
      </c>
      <c r="CK81" s="302" t="str">
        <f>IFERROR(((CB81+CD81+CF81)/VLOOKUP(BZ81,bhpc_data[],9,FALSE))*VLOOKUP(BZ81,bhpc_data[],18,FALSE),"")</f>
        <v/>
      </c>
      <c r="CL81" s="346" t="str">
        <f>IFERROR((CB81+CD81)/VLOOKUP(BZ81,bhpc_data[],9,FALSE)*VLOOKUP(BZ81,bhpc_data[],14,FALSE)*VLOOKUP(BZ81,bhpc_data[],15,FALSE)*VLOOKUP(BZ81,bhpc_data[],16,FALSE)/1000000000,"")</f>
        <v/>
      </c>
      <c r="CM81" s="409" t="str">
        <f>IFERROR(VLOOKUP(BZ81,bhpc_data[],2,FALSE),"")</f>
        <v/>
      </c>
      <c r="CN81" s="409" t="str">
        <f>IFERROR(VLOOKUP(BZ81,bhpc_data[],19,FALSE),"")</f>
        <v/>
      </c>
      <c r="CO81" s="653" t="str">
        <f>IFERROR(VLOOKUP(BZ81,bhpc_data[],6,FALSE),"")</f>
        <v/>
      </c>
      <c r="CP81" s="654" t="str">
        <f>IFERROR(VLOOKUP(BZ81,inventory[],4,FALSE),"")</f>
        <v/>
      </c>
      <c r="CQ81" s="651" t="str">
        <f>IFERROR(IF(BZ81="","",IF($BX$15="SALE",VLOOKUP(BZ81,inventory[],5,FALSE),IF($BX$15="SAMPLING",VLOOKUP(BZ81,inventory[],5,FALSE),""))),"")</f>
        <v/>
      </c>
      <c r="CR81" s="652" t="str">
        <f>IFERROR(IF(BZ81="","",(CB81+CD81+CF81)*CQ81),"")</f>
        <v/>
      </c>
      <c r="CS81" s="557" t="str">
        <f>IF(BZ81="","",CB81*CC81+CD81*CE81)</f>
        <v/>
      </c>
      <c r="DA81" s="540" t="str">
        <f>IFERROR(VLOOKUP(BZ81,bhpc_data[],22,FALSE),"")</f>
        <v/>
      </c>
      <c r="EE81" s="454" t="s">
        <v>195</v>
      </c>
      <c r="EF81" s="447" t="str">
        <f>VLOOKUP(EE81,bhpc_data[],7,FALSE)</f>
        <v>BHPC WOMEN BODY MIST #8 EXOTIC FRAGRANCE 200ML</v>
      </c>
      <c r="EG81" s="555">
        <f>IFERROR(VLOOKUP(EE81,inventory[],4,FALSE),0)</f>
        <v>422</v>
      </c>
      <c r="EH81" s="555">
        <f>IFERROR(VLOOKUP(warehouse[[#This Row],[SKU]],$EQ$10:$ES$38,3,FALSE),0)</f>
        <v>6720</v>
      </c>
      <c r="EI81" s="555">
        <f>IFERROR(VLOOKUP(warehouse[[#This Row],[SKU]],$EM$10:$EO$61,3,FALSE),0)</f>
        <v>156</v>
      </c>
      <c r="EJ81" s="555">
        <f>warehouse[[#This Row],[T-1]]+warehouse[[#This Row],[SUPPLY]]-warehouse[[#This Row],[SALE + SAMPLING]]</f>
        <v>6986</v>
      </c>
      <c r="EK81" s="449"/>
    </row>
    <row r="82" spans="59:141" ht="15" customHeight="1">
      <c r="BG82"/>
      <c r="BK82" s="146"/>
      <c r="BL82" s="147"/>
      <c r="BM82" s="148"/>
      <c r="BN82" s="147"/>
      <c r="BO82" s="148"/>
      <c r="BZ82" s="305"/>
      <c r="CA82" s="270" t="str">
        <f>IF(BZ82="","",VLOOKUP(BZ82,bhpc_data[],7,FALSE))</f>
        <v/>
      </c>
      <c r="CB82" s="296"/>
      <c r="CC82" s="642"/>
      <c r="CD82" s="306"/>
      <c r="CE82" s="646"/>
      <c r="CF82" s="307"/>
      <c r="CG82" s="301" t="str">
        <f>IFERROR(ROUNDUP(CB82/VLOOKUP(BZ82,bhpc_data[],9,FALSE),0)+ROUNDUP(CD82/VLOOKUP(BZ82,bhpc_data[],9,FALSE),0),"")</f>
        <v/>
      </c>
      <c r="CH82" s="302" t="str">
        <f>IFERROR(ROUNDUP(CD82/VLOOKUP(BZ82,bhpc_data[],9,FALSE),0),"")</f>
        <v/>
      </c>
      <c r="CI82" s="302" t="str">
        <f>IFERROR(ROUNDUP(CF82/VLOOKUP(BZ82,bhpc_data[],9,FALSE),0),"")</f>
        <v/>
      </c>
      <c r="CJ82" s="302" t="str">
        <f>IFERROR(((CB82+CD82+CF82)/VLOOKUP(BZ82,bhpc_data[],9,FALSE))*VLOOKUP(BZ82,bhpc_data[],17,FALSE),"")</f>
        <v/>
      </c>
      <c r="CK82" s="302" t="str">
        <f>IFERROR(((CB82+CD82+CF82)/VLOOKUP(BZ82,bhpc_data[],9,FALSE))*VLOOKUP(BZ82,bhpc_data[],18,FALSE),"")</f>
        <v/>
      </c>
      <c r="CL82" s="346" t="str">
        <f>IFERROR((CB82+CD82)/VLOOKUP(BZ82,bhpc_data[],9,FALSE)*VLOOKUP(BZ82,bhpc_data[],14,FALSE)*VLOOKUP(BZ82,bhpc_data[],15,FALSE)*VLOOKUP(BZ82,bhpc_data[],16,FALSE)/1000000000,"")</f>
        <v/>
      </c>
      <c r="CM82" s="409" t="str">
        <f>IFERROR(VLOOKUP(BZ82,bhpc_data[],2,FALSE),"")</f>
        <v/>
      </c>
      <c r="CN82" s="409" t="str">
        <f>IFERROR(VLOOKUP(BZ82,bhpc_data[],19,FALSE),"")</f>
        <v/>
      </c>
      <c r="CO82" s="653" t="str">
        <f>IFERROR(VLOOKUP(BZ82,bhpc_data[],6,FALSE),"")</f>
        <v/>
      </c>
      <c r="CP82" s="654" t="str">
        <f>IFERROR(VLOOKUP(BZ82,inventory[],4,FALSE),"")</f>
        <v/>
      </c>
      <c r="CQ82" s="651" t="str">
        <f>IFERROR(IF(BZ82="","",IF($BX$15="SALE",VLOOKUP(BZ82,inventory[],5,FALSE),IF($BX$15="SAMPLING",VLOOKUP(BZ82,inventory[],5,FALSE),""))),"")</f>
        <v/>
      </c>
      <c r="CR82" s="652" t="str">
        <f>IFERROR(IF(BZ82="","",(CB82+CD82+CF82)*CQ82),"")</f>
        <v/>
      </c>
      <c r="CS82" s="557" t="str">
        <f>IF(BZ82="","",CB82*CC82+CD82*CE82)</f>
        <v/>
      </c>
      <c r="DA82" s="540" t="str">
        <f>IFERROR(VLOOKUP(BZ82,bhpc_data[],22,FALSE),"")</f>
        <v/>
      </c>
      <c r="EE82" s="454" t="s">
        <v>197</v>
      </c>
      <c r="EF82" s="447" t="str">
        <f>VLOOKUP(EE82,bhpc_data[],7,FALSE)</f>
        <v>BHPC WOMEN BODY MIST #9 SPARKING FLORAL 200ML</v>
      </c>
      <c r="EG82" s="555">
        <f>IFERROR(VLOOKUP(EE82,inventory[],4,FALSE),0)</f>
        <v>618</v>
      </c>
      <c r="EH82" s="555">
        <f>IFERROR(VLOOKUP(warehouse[[#This Row],[SKU]],$EQ$10:$ES$38,3,FALSE),0)</f>
        <v>6720</v>
      </c>
      <c r="EI82" s="555">
        <f>IFERROR(VLOOKUP(warehouse[[#This Row],[SKU]],$EM$10:$EO$61,3,FALSE),0)</f>
        <v>151</v>
      </c>
      <c r="EJ82" s="555">
        <f>warehouse[[#This Row],[T-1]]+warehouse[[#This Row],[SUPPLY]]-warehouse[[#This Row],[SALE + SAMPLING]]</f>
        <v>7187</v>
      </c>
      <c r="EK82" s="449"/>
    </row>
    <row r="83" spans="59:141" ht="15" customHeight="1">
      <c r="BG83"/>
      <c r="BK83" s="146"/>
      <c r="BL83" s="147"/>
      <c r="BM83" s="148"/>
      <c r="BN83" s="147"/>
      <c r="BO83" s="148"/>
      <c r="BZ83" s="305"/>
      <c r="CA83" s="270" t="str">
        <f>IF(BZ83="","",VLOOKUP(BZ83,bhpc_data[],7,FALSE))</f>
        <v/>
      </c>
      <c r="CB83" s="296"/>
      <c r="CC83" s="642"/>
      <c r="CD83" s="306"/>
      <c r="CE83" s="646"/>
      <c r="CF83" s="307"/>
      <c r="CG83" s="301" t="str">
        <f>IFERROR(ROUNDUP(CB83/VLOOKUP(BZ83,bhpc_data[],9,FALSE),0)+ROUNDUP(CD83/VLOOKUP(BZ83,bhpc_data[],9,FALSE),0),"")</f>
        <v/>
      </c>
      <c r="CH83" s="302" t="str">
        <f>IFERROR(ROUNDUP(CD83/VLOOKUP(BZ83,bhpc_data[],9,FALSE),0),"")</f>
        <v/>
      </c>
      <c r="CI83" s="302" t="str">
        <f>IFERROR(ROUNDUP(CF83/VLOOKUP(BZ83,bhpc_data[],9,FALSE),0),"")</f>
        <v/>
      </c>
      <c r="CJ83" s="302" t="str">
        <f>IFERROR(((CB83+CD83+CF83)/VLOOKUP(BZ83,bhpc_data[],9,FALSE))*VLOOKUP(BZ83,bhpc_data[],17,FALSE),"")</f>
        <v/>
      </c>
      <c r="CK83" s="302" t="str">
        <f>IFERROR(((CB83+CD83+CF83)/VLOOKUP(BZ83,bhpc_data[],9,FALSE))*VLOOKUP(BZ83,bhpc_data[],18,FALSE),"")</f>
        <v/>
      </c>
      <c r="CL83" s="346" t="str">
        <f>IFERROR((CB83+CD83)/VLOOKUP(BZ83,bhpc_data[],9,FALSE)*VLOOKUP(BZ83,bhpc_data[],14,FALSE)*VLOOKUP(BZ83,bhpc_data[],15,FALSE)*VLOOKUP(BZ83,bhpc_data[],16,FALSE)/1000000000,"")</f>
        <v/>
      </c>
      <c r="CM83" s="409" t="str">
        <f>IFERROR(VLOOKUP(BZ83,bhpc_data[],2,FALSE),"")</f>
        <v/>
      </c>
      <c r="CN83" s="409" t="str">
        <f>IFERROR(VLOOKUP(BZ83,bhpc_data[],19,FALSE),"")</f>
        <v/>
      </c>
      <c r="CO83" s="653" t="str">
        <f>IFERROR(VLOOKUP(BZ83,bhpc_data[],6,FALSE),"")</f>
        <v/>
      </c>
      <c r="CP83" s="654" t="str">
        <f>IFERROR(VLOOKUP(BZ83,inventory[],4,FALSE),"")</f>
        <v/>
      </c>
      <c r="CQ83" s="651" t="str">
        <f>IFERROR(IF(BZ83="","",IF($BX$15="SALE",VLOOKUP(BZ83,inventory[],5,FALSE),IF($BX$15="SAMPLING",VLOOKUP(BZ83,inventory[],5,FALSE),""))),"")</f>
        <v/>
      </c>
      <c r="CR83" s="652" t="str">
        <f>IFERROR(IF(BZ83="","",(CB83+CD83+CF83)*CQ83),"")</f>
        <v/>
      </c>
      <c r="CS83" s="557" t="str">
        <f>IF(BZ83="","",CB83*CC83+CD83*CE83)</f>
        <v/>
      </c>
      <c r="DA83" s="540" t="str">
        <f>IFERROR(VLOOKUP(BZ83,bhpc_data[],22,FALSE),"")</f>
        <v/>
      </c>
      <c r="EE83" s="454" t="s">
        <v>201</v>
      </c>
      <c r="EF83" s="447" t="str">
        <f>VLOOKUP(EE83,bhpc_data[],7,FALSE)</f>
        <v>BHPC MEN ROLL-ON 1 50ML</v>
      </c>
      <c r="EG83" s="555">
        <f>IFERROR(VLOOKUP(EE83,inventory[],4,FALSE),0)</f>
        <v>0</v>
      </c>
      <c r="EH83" s="555">
        <f>IFERROR(VLOOKUP(warehouse[[#This Row],[SKU]],$EQ$10:$ES$38,3,FALSE),0)</f>
        <v>0</v>
      </c>
      <c r="EI83" s="555">
        <f>IFERROR(VLOOKUP(warehouse[[#This Row],[SKU]],$EM$10:$EO$61,3,FALSE),0)</f>
        <v>22092</v>
      </c>
      <c r="EJ83" s="555">
        <f>warehouse[[#This Row],[T-1]]+warehouse[[#This Row],[SUPPLY]]-warehouse[[#This Row],[SALE + SAMPLING]]</f>
        <v>-22092</v>
      </c>
      <c r="EK83" s="449"/>
    </row>
    <row r="84" spans="59:141" ht="15" customHeight="1">
      <c r="BK84" s="146"/>
      <c r="BL84" s="147"/>
      <c r="BM84" s="148"/>
      <c r="BN84" s="147"/>
      <c r="BO84" s="148"/>
      <c r="BZ84" s="305"/>
      <c r="CA84" s="270" t="str">
        <f>IF(BZ84="","",VLOOKUP(BZ84,bhpc_data[],7,FALSE))</f>
        <v/>
      </c>
      <c r="CB84" s="296"/>
      <c r="CC84" s="642"/>
      <c r="CD84" s="306"/>
      <c r="CE84" s="646"/>
      <c r="CF84" s="307"/>
      <c r="CG84" s="301" t="str">
        <f>IFERROR(ROUNDUP(CB84/VLOOKUP(BZ84,bhpc_data[],9,FALSE),0)+ROUNDUP(CD84/VLOOKUP(BZ84,bhpc_data[],9,FALSE),0),"")</f>
        <v/>
      </c>
      <c r="CH84" s="302" t="str">
        <f>IFERROR(ROUNDUP(CD84/VLOOKUP(BZ84,bhpc_data[],9,FALSE),0),"")</f>
        <v/>
      </c>
      <c r="CI84" s="302" t="str">
        <f>IFERROR(ROUNDUP(CF84/VLOOKUP(BZ84,bhpc_data[],9,FALSE),0),"")</f>
        <v/>
      </c>
      <c r="CJ84" s="302" t="str">
        <f>IFERROR(((CB84+CD84+CF84)/VLOOKUP(BZ84,bhpc_data[],9,FALSE))*VLOOKUP(BZ84,bhpc_data[],17,FALSE),"")</f>
        <v/>
      </c>
      <c r="CK84" s="302" t="str">
        <f>IFERROR(((CB84+CD84+CF84)/VLOOKUP(BZ84,bhpc_data[],9,FALSE))*VLOOKUP(BZ84,bhpc_data[],18,FALSE),"")</f>
        <v/>
      </c>
      <c r="CL84" s="346" t="str">
        <f>IFERROR((CB84+CD84)/VLOOKUP(BZ84,bhpc_data[],9,FALSE)*VLOOKUP(BZ84,bhpc_data[],14,FALSE)*VLOOKUP(BZ84,bhpc_data[],15,FALSE)*VLOOKUP(BZ84,bhpc_data[],16,FALSE)/1000000000,"")</f>
        <v/>
      </c>
      <c r="CM84" s="409" t="str">
        <f>IFERROR(VLOOKUP(BZ84,bhpc_data[],2,FALSE),"")</f>
        <v/>
      </c>
      <c r="CN84" s="409" t="str">
        <f>IFERROR(VLOOKUP(BZ84,bhpc_data[],19,FALSE),"")</f>
        <v/>
      </c>
      <c r="CO84" s="653" t="str">
        <f>IFERROR(VLOOKUP(BZ84,bhpc_data[],6,FALSE),"")</f>
        <v/>
      </c>
      <c r="CP84" s="654" t="str">
        <f>IFERROR(VLOOKUP(BZ84,inventory[],4,FALSE),"")</f>
        <v/>
      </c>
      <c r="CQ84" s="651" t="str">
        <f>IFERROR(IF(BZ84="","",IF($BX$15="SALE",VLOOKUP(BZ84,inventory[],5,FALSE),IF($BX$15="SAMPLING",VLOOKUP(BZ84,inventory[],5,FALSE),""))),"")</f>
        <v/>
      </c>
      <c r="CR84" s="652" t="str">
        <f>IFERROR(IF(BZ84="","",(CB84+CD84+CF84)*CQ84),"")</f>
        <v/>
      </c>
      <c r="CS84" s="557" t="str">
        <f>IF(BZ84="","",CB84*CC84+CD84*CE84)</f>
        <v/>
      </c>
      <c r="DA84" s="540" t="str">
        <f>IFERROR(VLOOKUP(BZ84,bhpc_data[],22,FALSE),"")</f>
        <v/>
      </c>
      <c r="EE84" s="454" t="s">
        <v>204</v>
      </c>
      <c r="EF84" s="447" t="str">
        <f>VLOOKUP(EE84,bhpc_data[],7,FALSE)</f>
        <v>BHPC MEN ROLL-ON 9 50ML</v>
      </c>
      <c r="EG84" s="555">
        <f>IFERROR(VLOOKUP(EE84,inventory[],4,FALSE),0)</f>
        <v>0</v>
      </c>
      <c r="EH84" s="555">
        <f>IFERROR(VLOOKUP(warehouse[[#This Row],[SKU]],$EQ$10:$ES$38,3,FALSE),0)</f>
        <v>0</v>
      </c>
      <c r="EI84" s="555">
        <f>IFERROR(VLOOKUP(warehouse[[#This Row],[SKU]],$EM$10:$EO$61,3,FALSE),0)</f>
        <v>24828</v>
      </c>
      <c r="EJ84" s="555">
        <f>warehouse[[#This Row],[T-1]]+warehouse[[#This Row],[SUPPLY]]-warehouse[[#This Row],[SALE + SAMPLING]]</f>
        <v>-24828</v>
      </c>
      <c r="EK84" s="449"/>
    </row>
    <row r="85" spans="59:141" ht="15" customHeight="1">
      <c r="BK85" s="146"/>
      <c r="BL85" s="147"/>
      <c r="BM85" s="148"/>
      <c r="BN85" s="147"/>
      <c r="BO85" s="148"/>
      <c r="BZ85" s="305"/>
      <c r="CA85" s="270" t="str">
        <f>IF(BZ85="","",VLOOKUP(BZ85,bhpc_data[],7,FALSE))</f>
        <v/>
      </c>
      <c r="CB85" s="296"/>
      <c r="CC85" s="642"/>
      <c r="CD85" s="306"/>
      <c r="CE85" s="646"/>
      <c r="CF85" s="307"/>
      <c r="CG85" s="301" t="str">
        <f>IFERROR(ROUNDUP(CB85/VLOOKUP(BZ85,bhpc_data[],9,FALSE),0)+ROUNDUP(CD85/VLOOKUP(BZ85,bhpc_data[],9,FALSE),0),"")</f>
        <v/>
      </c>
      <c r="CH85" s="302" t="str">
        <f>IFERROR(ROUNDUP(CD85/VLOOKUP(BZ85,bhpc_data[],9,FALSE),0),"")</f>
        <v/>
      </c>
      <c r="CI85" s="302" t="str">
        <f>IFERROR(ROUNDUP(CF85/VLOOKUP(BZ85,bhpc_data[],9,FALSE),0),"")</f>
        <v/>
      </c>
      <c r="CJ85" s="302" t="str">
        <f>IFERROR(((CB85+CD85+CF85)/VLOOKUP(BZ85,bhpc_data[],9,FALSE))*VLOOKUP(BZ85,bhpc_data[],17,FALSE),"")</f>
        <v/>
      </c>
      <c r="CK85" s="302" t="str">
        <f>IFERROR(((CB85+CD85+CF85)/VLOOKUP(BZ85,bhpc_data[],9,FALSE))*VLOOKUP(BZ85,bhpc_data[],18,FALSE),"")</f>
        <v/>
      </c>
      <c r="CL85" s="346" t="str">
        <f>IFERROR((CB85+CD85)/VLOOKUP(BZ85,bhpc_data[],9,FALSE)*VLOOKUP(BZ85,bhpc_data[],14,FALSE)*VLOOKUP(BZ85,bhpc_data[],15,FALSE)*VLOOKUP(BZ85,bhpc_data[],16,FALSE)/1000000000,"")</f>
        <v/>
      </c>
      <c r="CM85" s="409" t="str">
        <f>IFERROR(VLOOKUP(BZ85,bhpc_data[],2,FALSE),"")</f>
        <v/>
      </c>
      <c r="CN85" s="409" t="str">
        <f>IFERROR(VLOOKUP(BZ85,bhpc_data[],19,FALSE),"")</f>
        <v/>
      </c>
      <c r="CO85" s="653" t="str">
        <f>IFERROR(VLOOKUP(BZ85,bhpc_data[],6,FALSE),"")</f>
        <v/>
      </c>
      <c r="CP85" s="654" t="str">
        <f>IFERROR(VLOOKUP(BZ85,inventory[],4,FALSE),"")</f>
        <v/>
      </c>
      <c r="CQ85" s="651" t="str">
        <f>IFERROR(IF(BZ85="","",IF($BX$15="SALE",VLOOKUP(BZ85,inventory[],5,FALSE),IF($BX$15="SAMPLING",VLOOKUP(BZ85,inventory[],5,FALSE),""))),"")</f>
        <v/>
      </c>
      <c r="CR85" s="652" t="str">
        <f>IFERROR(IF(BZ85="","",(CB85+CD85+CF85)*CQ85),"")</f>
        <v/>
      </c>
      <c r="CS85" s="557" t="str">
        <f>IF(BZ85="","",CB85*CC85+CD85*CE85)</f>
        <v/>
      </c>
      <c r="DA85" s="540" t="str">
        <f>IFERROR(VLOOKUP(BZ85,bhpc_data[],22,FALSE),"")</f>
        <v/>
      </c>
      <c r="EE85" s="454" t="s">
        <v>206</v>
      </c>
      <c r="EF85" s="447" t="str">
        <f>VLOOKUP(EE85,bhpc_data[],7,FALSE)</f>
        <v>BHPC MEN ROLL-ON 8 50ML</v>
      </c>
      <c r="EG85" s="555">
        <f>IFERROR(VLOOKUP(EE85,inventory[],4,FALSE),0)</f>
        <v>0</v>
      </c>
      <c r="EH85" s="555">
        <f>IFERROR(VLOOKUP(warehouse[[#This Row],[SKU]],$EQ$10:$ES$38,3,FALSE),0)</f>
        <v>0</v>
      </c>
      <c r="EI85" s="555">
        <f>IFERROR(VLOOKUP(warehouse[[#This Row],[SKU]],$EM$10:$EO$61,3,FALSE),0)</f>
        <v>21120</v>
      </c>
      <c r="EJ85" s="555">
        <f>warehouse[[#This Row],[T-1]]+warehouse[[#This Row],[SUPPLY]]-warehouse[[#This Row],[SALE + SAMPLING]]</f>
        <v>-21120</v>
      </c>
      <c r="EK85" s="449"/>
    </row>
    <row r="86" spans="59:141" ht="15" customHeight="1">
      <c r="BK86" s="146"/>
      <c r="BL86" s="147"/>
      <c r="BM86" s="148"/>
      <c r="BN86" s="147"/>
      <c r="BO86" s="148"/>
      <c r="BZ86" s="305"/>
      <c r="CA86" s="270" t="str">
        <f>IF(BZ86="","",VLOOKUP(BZ86,bhpc_data[],7,FALSE))</f>
        <v/>
      </c>
      <c r="CB86" s="296"/>
      <c r="CC86" s="642"/>
      <c r="CD86" s="306"/>
      <c r="CE86" s="646"/>
      <c r="CF86" s="307"/>
      <c r="CG86" s="301" t="str">
        <f>IFERROR(ROUNDUP(CB86/VLOOKUP(BZ86,bhpc_data[],9,FALSE),0)+ROUNDUP(CD86/VLOOKUP(BZ86,bhpc_data[],9,FALSE),0),"")</f>
        <v/>
      </c>
      <c r="CH86" s="302" t="str">
        <f>IFERROR(ROUNDUP(CD86/VLOOKUP(BZ86,bhpc_data[],9,FALSE),0),"")</f>
        <v/>
      </c>
      <c r="CI86" s="302" t="str">
        <f>IFERROR(ROUNDUP(CF86/VLOOKUP(BZ86,bhpc_data[],9,FALSE),0),"")</f>
        <v/>
      </c>
      <c r="CJ86" s="302" t="str">
        <f>IFERROR(((CB86+CD86+CF86)/VLOOKUP(BZ86,bhpc_data[],9,FALSE))*VLOOKUP(BZ86,bhpc_data[],17,FALSE),"")</f>
        <v/>
      </c>
      <c r="CK86" s="302" t="str">
        <f>IFERROR(((CB86+CD86+CF86)/VLOOKUP(BZ86,bhpc_data[],9,FALSE))*VLOOKUP(BZ86,bhpc_data[],18,FALSE),"")</f>
        <v/>
      </c>
      <c r="CL86" s="346" t="str">
        <f>IFERROR((CB86+CD86)/VLOOKUP(BZ86,bhpc_data[],9,FALSE)*VLOOKUP(BZ86,bhpc_data[],14,FALSE)*VLOOKUP(BZ86,bhpc_data[],15,FALSE)*VLOOKUP(BZ86,bhpc_data[],16,FALSE)/1000000000,"")</f>
        <v/>
      </c>
      <c r="CM86" s="409" t="str">
        <f>IFERROR(VLOOKUP(BZ86,bhpc_data[],2,FALSE),"")</f>
        <v/>
      </c>
      <c r="CN86" s="409" t="str">
        <f>IFERROR(VLOOKUP(BZ86,bhpc_data[],19,FALSE),"")</f>
        <v/>
      </c>
      <c r="CO86" s="653" t="str">
        <f>IFERROR(VLOOKUP(BZ86,bhpc_data[],6,FALSE),"")</f>
        <v/>
      </c>
      <c r="CP86" s="654" t="str">
        <f>IFERROR(VLOOKUP(BZ86,inventory[],4,FALSE),"")</f>
        <v/>
      </c>
      <c r="CQ86" s="651" t="str">
        <f>IFERROR(IF(BZ86="","",IF($BX$15="SALE",VLOOKUP(BZ86,inventory[],5,FALSE),IF($BX$15="SAMPLING",VLOOKUP(BZ86,inventory[],5,FALSE),""))),"")</f>
        <v/>
      </c>
      <c r="CR86" s="652" t="str">
        <f>IFERROR(IF(BZ86="","",(CB86+CD86+CF86)*CQ86),"")</f>
        <v/>
      </c>
      <c r="CS86" s="557" t="str">
        <f>IF(BZ86="","",CB86*CC86+CD86*CE86)</f>
        <v/>
      </c>
      <c r="DA86" s="540" t="str">
        <f>IFERROR(VLOOKUP(BZ86,bhpc_data[],22,FALSE),"")</f>
        <v/>
      </c>
      <c r="EE86" s="454" t="s">
        <v>208</v>
      </c>
      <c r="EF86" s="447" t="str">
        <f>VLOOKUP(EE86,bhpc_data[],7,FALSE)</f>
        <v>BHPC MEN ROLL-ON 2 50ML</v>
      </c>
      <c r="EG86" s="555">
        <f>IFERROR(VLOOKUP(EE86,inventory[],4,FALSE),0)</f>
        <v>0</v>
      </c>
      <c r="EH86" s="555">
        <f>IFERROR(VLOOKUP(warehouse[[#This Row],[SKU]],$EQ$10:$ES$38,3,FALSE),0)</f>
        <v>0</v>
      </c>
      <c r="EI86" s="555">
        <f>IFERROR(VLOOKUP(warehouse[[#This Row],[SKU]],$EM$10:$EO$61,3,FALSE),0)</f>
        <v>23352</v>
      </c>
      <c r="EJ86" s="555">
        <f>warehouse[[#This Row],[T-1]]+warehouse[[#This Row],[SUPPLY]]-warehouse[[#This Row],[SALE + SAMPLING]]</f>
        <v>-23352</v>
      </c>
      <c r="EK86" s="449"/>
    </row>
    <row r="87" spans="59:141" ht="15" customHeight="1">
      <c r="BK87" s="146"/>
      <c r="BL87" s="147"/>
      <c r="BM87" s="148"/>
      <c r="BN87" s="147"/>
      <c r="BO87" s="148"/>
      <c r="BZ87" s="305"/>
      <c r="CA87" s="270" t="str">
        <f>IF(BZ87="","",VLOOKUP(BZ87,bhpc_data[],7,FALSE))</f>
        <v/>
      </c>
      <c r="CB87" s="296"/>
      <c r="CC87" s="642"/>
      <c r="CD87" s="306"/>
      <c r="CE87" s="646"/>
      <c r="CF87" s="307"/>
      <c r="CG87" s="301" t="str">
        <f>IFERROR(ROUNDUP(CB87/VLOOKUP(BZ87,bhpc_data[],9,FALSE),0)+ROUNDUP(CD87/VLOOKUP(BZ87,bhpc_data[],9,FALSE),0),"")</f>
        <v/>
      </c>
      <c r="CH87" s="302" t="str">
        <f>IFERROR(ROUNDUP(CD87/VLOOKUP(BZ87,bhpc_data[],9,FALSE),0),"")</f>
        <v/>
      </c>
      <c r="CI87" s="302" t="str">
        <f>IFERROR(ROUNDUP(CF87/VLOOKUP(BZ87,bhpc_data[],9,FALSE),0),"")</f>
        <v/>
      </c>
      <c r="CJ87" s="302" t="str">
        <f>IFERROR(((CB87+CD87+CF87)/VLOOKUP(BZ87,bhpc_data[],9,FALSE))*VLOOKUP(BZ87,bhpc_data[],17,FALSE),"")</f>
        <v/>
      </c>
      <c r="CK87" s="302" t="str">
        <f>IFERROR(((CB87+CD87+CF87)/VLOOKUP(BZ87,bhpc_data[],9,FALSE))*VLOOKUP(BZ87,bhpc_data[],18,FALSE),"")</f>
        <v/>
      </c>
      <c r="CL87" s="346" t="str">
        <f>IFERROR((CB87+CD87)/VLOOKUP(BZ87,bhpc_data[],9,FALSE)*VLOOKUP(BZ87,bhpc_data[],14,FALSE)*VLOOKUP(BZ87,bhpc_data[],15,FALSE)*VLOOKUP(BZ87,bhpc_data[],16,FALSE)/1000000000,"")</f>
        <v/>
      </c>
      <c r="CM87" s="409" t="str">
        <f>IFERROR(VLOOKUP(BZ87,bhpc_data[],2,FALSE),"")</f>
        <v/>
      </c>
      <c r="CN87" s="409" t="str">
        <f>IFERROR(VLOOKUP(BZ87,bhpc_data[],19,FALSE),"")</f>
        <v/>
      </c>
      <c r="CO87" s="653" t="str">
        <f>IFERROR(VLOOKUP(BZ87,bhpc_data[],6,FALSE),"")</f>
        <v/>
      </c>
      <c r="CP87" s="654" t="str">
        <f>IFERROR(VLOOKUP(BZ87,inventory[],4,FALSE),"")</f>
        <v/>
      </c>
      <c r="CQ87" s="651" t="str">
        <f>IFERROR(IF(BZ87="","",IF($BX$15="SALE",VLOOKUP(BZ87,inventory[],5,FALSE),IF($BX$15="SAMPLING",VLOOKUP(BZ87,inventory[],5,FALSE),""))),"")</f>
        <v/>
      </c>
      <c r="CR87" s="652" t="str">
        <f>IFERROR(IF(BZ87="","",(CB87+CD87+CF87)*CQ87),"")</f>
        <v/>
      </c>
      <c r="CS87" s="557" t="str">
        <f>IF(BZ87="","",CB87*CC87+CD87*CE87)</f>
        <v/>
      </c>
      <c r="DA87" s="540" t="str">
        <f>IFERROR(VLOOKUP(BZ87,bhpc_data[],22,FALSE),"")</f>
        <v/>
      </c>
      <c r="EE87" s="454" t="s">
        <v>210</v>
      </c>
      <c r="EF87" s="447" t="str">
        <f>VLOOKUP(EE87,bhpc_data[],7,FALSE)</f>
        <v>BHPC TWINPACK SPORTS MEN DEO #1 #2 175ML</v>
      </c>
      <c r="EG87" s="555">
        <f>IFERROR(VLOOKUP(EE87,inventory[],4,FALSE),0)</f>
        <v>0</v>
      </c>
      <c r="EH87" s="555">
        <f>IFERROR(VLOOKUP(warehouse[[#This Row],[SKU]],$EQ$10:$ES$38,3,FALSE),0)</f>
        <v>0</v>
      </c>
      <c r="EI87" s="555">
        <f>IFERROR(VLOOKUP(warehouse[[#This Row],[SKU]],$EM$10:$EO$61,3,FALSE),0)</f>
        <v>0</v>
      </c>
      <c r="EJ87" s="555">
        <f>warehouse[[#This Row],[T-1]]+warehouse[[#This Row],[SUPPLY]]-warehouse[[#This Row],[SALE + SAMPLING]]</f>
        <v>0</v>
      </c>
      <c r="EK87" s="449"/>
    </row>
    <row r="88" spans="59:141" ht="15" customHeight="1">
      <c r="BK88" s="146"/>
      <c r="BL88" s="147"/>
      <c r="BM88" s="148"/>
      <c r="BN88" s="147"/>
      <c r="BO88" s="148"/>
      <c r="BZ88" s="305"/>
      <c r="CA88" s="270" t="str">
        <f>IF(BZ88="","",VLOOKUP(BZ88,bhpc_data[],7,FALSE))</f>
        <v/>
      </c>
      <c r="CB88" s="296"/>
      <c r="CC88" s="642"/>
      <c r="CD88" s="306"/>
      <c r="CE88" s="646"/>
      <c r="CF88" s="307"/>
      <c r="CG88" s="301" t="str">
        <f>IFERROR(ROUNDUP(CB88/VLOOKUP(BZ88,bhpc_data[],9,FALSE),0)+ROUNDUP(CD88/VLOOKUP(BZ88,bhpc_data[],9,FALSE),0),"")</f>
        <v/>
      </c>
      <c r="CH88" s="302" t="str">
        <f>IFERROR(ROUNDUP(CD88/VLOOKUP(BZ88,bhpc_data[],9,FALSE),0),"")</f>
        <v/>
      </c>
      <c r="CI88" s="302" t="str">
        <f>IFERROR(ROUNDUP(CF88/VLOOKUP(BZ88,bhpc_data[],9,FALSE),0),"")</f>
        <v/>
      </c>
      <c r="CJ88" s="302" t="str">
        <f>IFERROR(((CB88+CD88+CF88)/VLOOKUP(BZ88,bhpc_data[],9,FALSE))*VLOOKUP(BZ88,bhpc_data[],17,FALSE),"")</f>
        <v/>
      </c>
      <c r="CK88" s="302" t="str">
        <f>IFERROR(((CB88+CD88+CF88)/VLOOKUP(BZ88,bhpc_data[],9,FALSE))*VLOOKUP(BZ88,bhpc_data[],18,FALSE),"")</f>
        <v/>
      </c>
      <c r="CL88" s="346" t="str">
        <f>IFERROR((CB88+CD88)/VLOOKUP(BZ88,bhpc_data[],9,FALSE)*VLOOKUP(BZ88,bhpc_data[],14,FALSE)*VLOOKUP(BZ88,bhpc_data[],15,FALSE)*VLOOKUP(BZ88,bhpc_data[],16,FALSE)/1000000000,"")</f>
        <v/>
      </c>
      <c r="CM88" s="409" t="str">
        <f>IFERROR(VLOOKUP(BZ88,bhpc_data[],2,FALSE),"")</f>
        <v/>
      </c>
      <c r="CN88" s="409" t="str">
        <f>IFERROR(VLOOKUP(BZ88,bhpc_data[],19,FALSE),"")</f>
        <v/>
      </c>
      <c r="CO88" s="653" t="str">
        <f>IFERROR(VLOOKUP(BZ88,bhpc_data[],6,FALSE),"")</f>
        <v/>
      </c>
      <c r="CP88" s="654" t="str">
        <f>IFERROR(VLOOKUP(BZ88,inventory[],4,FALSE),"")</f>
        <v/>
      </c>
      <c r="CQ88" s="651" t="str">
        <f>IFERROR(IF(BZ88="","",IF($BX$15="SALE",VLOOKUP(BZ88,inventory[],5,FALSE),IF($BX$15="SAMPLING",VLOOKUP(BZ88,inventory[],5,FALSE),""))),"")</f>
        <v/>
      </c>
      <c r="CR88" s="652" t="str">
        <f>IFERROR(IF(BZ88="","",(CB88+CD88+CF88)*CQ88),"")</f>
        <v/>
      </c>
      <c r="CS88" s="557" t="str">
        <f>IF(BZ88="","",CB88*CC88+CD88*CE88)</f>
        <v/>
      </c>
      <c r="DA88" s="540" t="str">
        <f>IFERROR(VLOOKUP(BZ88,bhpc_data[],22,FALSE),"")</f>
        <v/>
      </c>
      <c r="EE88" s="454" t="s">
        <v>212</v>
      </c>
      <c r="EF88" s="447" t="str">
        <f>VLOOKUP(EE88,bhpc_data[],7,FALSE)</f>
        <v>BHPC TWINPACK SPORTS MEN DEO #1 #8 175ML</v>
      </c>
      <c r="EG88" s="555">
        <f>IFERROR(VLOOKUP(EE88,inventory[],4,FALSE),0)</f>
        <v>0</v>
      </c>
      <c r="EH88" s="555">
        <f>IFERROR(VLOOKUP(warehouse[[#This Row],[SKU]],$EQ$10:$ES$38,3,FALSE),0)</f>
        <v>0</v>
      </c>
      <c r="EI88" s="555">
        <f>IFERROR(VLOOKUP(warehouse[[#This Row],[SKU]],$EM$10:$EO$61,3,FALSE),0)</f>
        <v>0</v>
      </c>
      <c r="EJ88" s="555">
        <f>warehouse[[#This Row],[T-1]]+warehouse[[#This Row],[SUPPLY]]-warehouse[[#This Row],[SALE + SAMPLING]]</f>
        <v>0</v>
      </c>
      <c r="EK88" s="449"/>
    </row>
    <row r="89" spans="59:141" ht="15" customHeight="1">
      <c r="BK89" s="146"/>
      <c r="BL89" s="147"/>
      <c r="BM89" s="148"/>
      <c r="BN89" s="147"/>
      <c r="BO89" s="148"/>
      <c r="BZ89" s="305"/>
      <c r="CA89" s="270" t="str">
        <f>IF(BZ89="","",VLOOKUP(BZ89,bhpc_data[],7,FALSE))</f>
        <v/>
      </c>
      <c r="CB89" s="296"/>
      <c r="CC89" s="642"/>
      <c r="CD89" s="306"/>
      <c r="CE89" s="646"/>
      <c r="CF89" s="307"/>
      <c r="CG89" s="301" t="str">
        <f>IFERROR(ROUNDUP(CB89/VLOOKUP(BZ89,bhpc_data[],9,FALSE),0)+ROUNDUP(CD89/VLOOKUP(BZ89,bhpc_data[],9,FALSE),0),"")</f>
        <v/>
      </c>
      <c r="CH89" s="302" t="str">
        <f>IFERROR(ROUNDUP(CD89/VLOOKUP(BZ89,bhpc_data[],9,FALSE),0),"")</f>
        <v/>
      </c>
      <c r="CI89" s="302" t="str">
        <f>IFERROR(ROUNDUP(CF89/VLOOKUP(BZ89,bhpc_data[],9,FALSE),0),"")</f>
        <v/>
      </c>
      <c r="CJ89" s="302" t="str">
        <f>IFERROR(((CB89+CD89+CF89)/VLOOKUP(BZ89,bhpc_data[],9,FALSE))*VLOOKUP(BZ89,bhpc_data[],17,FALSE),"")</f>
        <v/>
      </c>
      <c r="CK89" s="302" t="str">
        <f>IFERROR(((CB89+CD89+CF89)/VLOOKUP(BZ89,bhpc_data[],9,FALSE))*VLOOKUP(BZ89,bhpc_data[],18,FALSE),"")</f>
        <v/>
      </c>
      <c r="CL89" s="346" t="str">
        <f>IFERROR((CB89+CD89)/VLOOKUP(BZ89,bhpc_data[],9,FALSE)*VLOOKUP(BZ89,bhpc_data[],14,FALSE)*VLOOKUP(BZ89,bhpc_data[],15,FALSE)*VLOOKUP(BZ89,bhpc_data[],16,FALSE)/1000000000,"")</f>
        <v/>
      </c>
      <c r="CM89" s="409" t="str">
        <f>IFERROR(VLOOKUP(BZ89,bhpc_data[],2,FALSE),"")</f>
        <v/>
      </c>
      <c r="CN89" s="409" t="str">
        <f>IFERROR(VLOOKUP(BZ89,bhpc_data[],19,FALSE),"")</f>
        <v/>
      </c>
      <c r="CO89" s="653" t="str">
        <f>IFERROR(VLOOKUP(BZ89,bhpc_data[],6,FALSE),"")</f>
        <v/>
      </c>
      <c r="CP89" s="654" t="str">
        <f>IFERROR(VLOOKUP(BZ89,inventory[],4,FALSE),"")</f>
        <v/>
      </c>
      <c r="CQ89" s="651" t="str">
        <f>IFERROR(IF(BZ89="","",IF($BX$15="SALE",VLOOKUP(BZ89,inventory[],5,FALSE),IF($BX$15="SAMPLING",VLOOKUP(BZ89,inventory[],5,FALSE),""))),"")</f>
        <v/>
      </c>
      <c r="CR89" s="652" t="str">
        <f>IFERROR(IF(BZ89="","",(CB89+CD89+CF89)*CQ89),"")</f>
        <v/>
      </c>
      <c r="CS89" s="557" t="str">
        <f>IF(BZ89="","",CB89*CC89+CD89*CE89)</f>
        <v/>
      </c>
      <c r="DA89" s="540" t="str">
        <f>IFERROR(VLOOKUP(BZ89,bhpc_data[],22,FALSE),"")</f>
        <v/>
      </c>
      <c r="EE89" s="454" t="s">
        <v>214</v>
      </c>
      <c r="EF89" s="447" t="str">
        <f>VLOOKUP(EE89,bhpc_data[],7,FALSE)</f>
        <v>BHPC TWINPACK SPORTS MEN DEO #1 #9 175ML</v>
      </c>
      <c r="EG89" s="555">
        <f>IFERROR(VLOOKUP(EE89,inventory[],4,FALSE),0)</f>
        <v>0</v>
      </c>
      <c r="EH89" s="555">
        <f>IFERROR(VLOOKUP(warehouse[[#This Row],[SKU]],$EQ$10:$ES$38,3,FALSE),0)</f>
        <v>0</v>
      </c>
      <c r="EI89" s="555">
        <f>IFERROR(VLOOKUP(warehouse[[#This Row],[SKU]],$EM$10:$EO$61,3,FALSE),0)</f>
        <v>0</v>
      </c>
      <c r="EJ89" s="555">
        <f>warehouse[[#This Row],[T-1]]+warehouse[[#This Row],[SUPPLY]]-warehouse[[#This Row],[SALE + SAMPLING]]</f>
        <v>0</v>
      </c>
      <c r="EK89" s="449"/>
    </row>
    <row r="90" spans="59:141" ht="15" customHeight="1">
      <c r="BK90" s="146"/>
      <c r="BL90" s="147"/>
      <c r="BM90" s="148"/>
      <c r="BN90" s="147"/>
      <c r="BO90" s="148"/>
      <c r="BZ90" s="305"/>
      <c r="CA90" s="270" t="str">
        <f>IF(BZ90="","",VLOOKUP(BZ90,bhpc_data[],7,FALSE))</f>
        <v/>
      </c>
      <c r="CB90" s="296"/>
      <c r="CC90" s="642"/>
      <c r="CD90" s="306"/>
      <c r="CE90" s="646"/>
      <c r="CF90" s="307"/>
      <c r="CG90" s="301" t="str">
        <f>IFERROR(ROUNDUP(CB90/VLOOKUP(BZ90,bhpc_data[],9,FALSE),0)+ROUNDUP(CD90/VLOOKUP(BZ90,bhpc_data[],9,FALSE),0),"")</f>
        <v/>
      </c>
      <c r="CH90" s="302" t="str">
        <f>IFERROR(ROUNDUP(CD90/VLOOKUP(BZ90,bhpc_data[],9,FALSE),0),"")</f>
        <v/>
      </c>
      <c r="CI90" s="302" t="str">
        <f>IFERROR(ROUNDUP(CF90/VLOOKUP(BZ90,bhpc_data[],9,FALSE),0),"")</f>
        <v/>
      </c>
      <c r="CJ90" s="302" t="str">
        <f>IFERROR(((CB90+CD90+CF90)/VLOOKUP(BZ90,bhpc_data[],9,FALSE))*VLOOKUP(BZ90,bhpc_data[],17,FALSE),"")</f>
        <v/>
      </c>
      <c r="CK90" s="302" t="str">
        <f>IFERROR(((CB90+CD90+CF90)/VLOOKUP(BZ90,bhpc_data[],9,FALSE))*VLOOKUP(BZ90,bhpc_data[],18,FALSE),"")</f>
        <v/>
      </c>
      <c r="CL90" s="346" t="str">
        <f>IFERROR((CB90+CD90)/VLOOKUP(BZ90,bhpc_data[],9,FALSE)*VLOOKUP(BZ90,bhpc_data[],14,FALSE)*VLOOKUP(BZ90,bhpc_data[],15,FALSE)*VLOOKUP(BZ90,bhpc_data[],16,FALSE)/1000000000,"")</f>
        <v/>
      </c>
      <c r="CM90" s="409" t="str">
        <f>IFERROR(VLOOKUP(BZ90,bhpc_data[],2,FALSE),"")</f>
        <v/>
      </c>
      <c r="CN90" s="409" t="str">
        <f>IFERROR(VLOOKUP(BZ90,bhpc_data[],19,FALSE),"")</f>
        <v/>
      </c>
      <c r="CO90" s="653" t="str">
        <f>IFERROR(VLOOKUP(BZ90,bhpc_data[],6,FALSE),"")</f>
        <v/>
      </c>
      <c r="CP90" s="654" t="str">
        <f>IFERROR(VLOOKUP(BZ90,inventory[],4,FALSE),"")</f>
        <v/>
      </c>
      <c r="CQ90" s="651" t="str">
        <f>IFERROR(IF(BZ90="","",IF($BX$15="SALE",VLOOKUP(BZ90,inventory[],5,FALSE),IF($BX$15="SAMPLING",VLOOKUP(BZ90,inventory[],5,FALSE),""))),"")</f>
        <v/>
      </c>
      <c r="CR90" s="652" t="str">
        <f>IFERROR(IF(BZ90="","",(CB90+CD90+CF90)*CQ90),"")</f>
        <v/>
      </c>
      <c r="CS90" s="557" t="str">
        <f>IF(BZ90="","",CB90*CC90+CD90*CE90)</f>
        <v/>
      </c>
      <c r="DA90" s="540" t="str">
        <f>IFERROR(VLOOKUP(BZ90,bhpc_data[],22,FALSE),"")</f>
        <v/>
      </c>
      <c r="EE90" s="454" t="s">
        <v>216</v>
      </c>
      <c r="EF90" s="447" t="str">
        <f>VLOOKUP(EE90,bhpc_data[],7,FALSE)</f>
        <v>BHPC TWINPACK SPORTS MEN DEO #2 #8 175ML</v>
      </c>
      <c r="EG90" s="555">
        <f>IFERROR(VLOOKUP(EE90,inventory[],4,FALSE),0)</f>
        <v>0</v>
      </c>
      <c r="EH90" s="555">
        <f>IFERROR(VLOOKUP(warehouse[[#This Row],[SKU]],$EQ$10:$ES$38,3,FALSE),0)</f>
        <v>0</v>
      </c>
      <c r="EI90" s="555">
        <f>IFERROR(VLOOKUP(warehouse[[#This Row],[SKU]],$EM$10:$EO$61,3,FALSE),0)</f>
        <v>0</v>
      </c>
      <c r="EJ90" s="555">
        <f>warehouse[[#This Row],[T-1]]+warehouse[[#This Row],[SUPPLY]]-warehouse[[#This Row],[SALE + SAMPLING]]</f>
        <v>0</v>
      </c>
      <c r="EK90" s="449"/>
    </row>
    <row r="91" spans="59:141" ht="15" customHeight="1">
      <c r="BK91" s="146"/>
      <c r="BL91" s="147"/>
      <c r="BM91" s="148"/>
      <c r="BN91" s="147"/>
      <c r="BO91" s="148"/>
      <c r="BZ91" s="305"/>
      <c r="CA91" s="270" t="str">
        <f>IF(BZ91="","",VLOOKUP(BZ91,bhpc_data[],7,FALSE))</f>
        <v/>
      </c>
      <c r="CB91" s="296"/>
      <c r="CC91" s="642"/>
      <c r="CD91" s="306"/>
      <c r="CE91" s="646"/>
      <c r="CF91" s="307"/>
      <c r="CG91" s="301" t="str">
        <f>IFERROR(ROUNDUP(CB91/VLOOKUP(BZ91,bhpc_data[],9,FALSE),0)+ROUNDUP(CD91/VLOOKUP(BZ91,bhpc_data[],9,FALSE),0),"")</f>
        <v/>
      </c>
      <c r="CH91" s="302" t="str">
        <f>IFERROR(ROUNDUP(CD91/VLOOKUP(BZ91,bhpc_data[],9,FALSE),0),"")</f>
        <v/>
      </c>
      <c r="CI91" s="302" t="str">
        <f>IFERROR(ROUNDUP(CF91/VLOOKUP(BZ91,bhpc_data[],9,FALSE),0),"")</f>
        <v/>
      </c>
      <c r="CJ91" s="302" t="str">
        <f>IFERROR(((CB91+CD91+CF91)/VLOOKUP(BZ91,bhpc_data[],9,FALSE))*VLOOKUP(BZ91,bhpc_data[],17,FALSE),"")</f>
        <v/>
      </c>
      <c r="CK91" s="302" t="str">
        <f>IFERROR(((CB91+CD91+CF91)/VLOOKUP(BZ91,bhpc_data[],9,FALSE))*VLOOKUP(BZ91,bhpc_data[],18,FALSE),"")</f>
        <v/>
      </c>
      <c r="CL91" s="346" t="str">
        <f>IFERROR((CB91+CD91)/VLOOKUP(BZ91,bhpc_data[],9,FALSE)*VLOOKUP(BZ91,bhpc_data[],14,FALSE)*VLOOKUP(BZ91,bhpc_data[],15,FALSE)*VLOOKUP(BZ91,bhpc_data[],16,FALSE)/1000000000,"")</f>
        <v/>
      </c>
      <c r="CM91" s="409" t="str">
        <f>IFERROR(VLOOKUP(BZ91,bhpc_data[],2,FALSE),"")</f>
        <v/>
      </c>
      <c r="CN91" s="409" t="str">
        <f>IFERROR(VLOOKUP(BZ91,bhpc_data[],19,FALSE),"")</f>
        <v/>
      </c>
      <c r="CO91" s="653" t="str">
        <f>IFERROR(VLOOKUP(BZ91,bhpc_data[],6,FALSE),"")</f>
        <v/>
      </c>
      <c r="CP91" s="654" t="str">
        <f>IFERROR(VLOOKUP(BZ91,inventory[],4,FALSE),"")</f>
        <v/>
      </c>
      <c r="CQ91" s="651" t="str">
        <f>IFERROR(IF(BZ91="","",IF($BX$15="SALE",VLOOKUP(BZ91,inventory[],5,FALSE),IF($BX$15="SAMPLING",VLOOKUP(BZ91,inventory[],5,FALSE),""))),"")</f>
        <v/>
      </c>
      <c r="CR91" s="652" t="str">
        <f>IFERROR(IF(BZ91="","",(CB91+CD91+CF91)*CQ91),"")</f>
        <v/>
      </c>
      <c r="CS91" s="557" t="str">
        <f>IF(BZ91="","",CB91*CC91+CD91*CE91)</f>
        <v/>
      </c>
      <c r="DA91" s="540" t="str">
        <f>IFERROR(VLOOKUP(BZ91,bhpc_data[],22,FALSE),"")</f>
        <v/>
      </c>
      <c r="EE91" s="454" t="s">
        <v>218</v>
      </c>
      <c r="EF91" s="447" t="str">
        <f>VLOOKUP(EE91,bhpc_data[],7,FALSE)</f>
        <v>BHPC TWINPACK SPORTS MEN DEO #2 #9 175ML</v>
      </c>
      <c r="EG91" s="555">
        <f>IFERROR(VLOOKUP(EE91,inventory[],4,FALSE),0)</f>
        <v>0</v>
      </c>
      <c r="EH91" s="555">
        <f>IFERROR(VLOOKUP(warehouse[[#This Row],[SKU]],$EQ$10:$ES$38,3,FALSE),0)</f>
        <v>0</v>
      </c>
      <c r="EI91" s="555">
        <f>IFERROR(VLOOKUP(warehouse[[#This Row],[SKU]],$EM$10:$EO$61,3,FALSE),0)</f>
        <v>0</v>
      </c>
      <c r="EJ91" s="555">
        <f>warehouse[[#This Row],[T-1]]+warehouse[[#This Row],[SUPPLY]]-warehouse[[#This Row],[SALE + SAMPLING]]</f>
        <v>0</v>
      </c>
      <c r="EK91" s="449"/>
    </row>
    <row r="92" spans="59:141" ht="15" customHeight="1">
      <c r="BK92" s="146"/>
      <c r="BL92" s="147"/>
      <c r="BM92" s="148"/>
      <c r="BN92" s="147"/>
      <c r="BO92" s="148"/>
      <c r="BZ92" s="305"/>
      <c r="CA92" s="270" t="str">
        <f>IF(BZ92="","",VLOOKUP(BZ92,bhpc_data[],7,FALSE))</f>
        <v/>
      </c>
      <c r="CB92" s="296"/>
      <c r="CC92" s="642"/>
      <c r="CD92" s="306"/>
      <c r="CE92" s="646"/>
      <c r="CF92" s="307"/>
      <c r="CG92" s="301" t="str">
        <f>IFERROR(ROUNDUP(CB92/VLOOKUP(BZ92,bhpc_data[],9,FALSE),0)+ROUNDUP(CD92/VLOOKUP(BZ92,bhpc_data[],9,FALSE),0),"")</f>
        <v/>
      </c>
      <c r="CH92" s="302" t="str">
        <f>IFERROR(ROUNDUP(CD92/VLOOKUP(BZ92,bhpc_data[],9,FALSE),0),"")</f>
        <v/>
      </c>
      <c r="CI92" s="302" t="str">
        <f>IFERROR(ROUNDUP(CF92/VLOOKUP(BZ92,bhpc_data[],9,FALSE),0),"")</f>
        <v/>
      </c>
      <c r="CJ92" s="302" t="str">
        <f>IFERROR(((CB92+CD92+CF92)/VLOOKUP(BZ92,bhpc_data[],9,FALSE))*VLOOKUP(BZ92,bhpc_data[],17,FALSE),"")</f>
        <v/>
      </c>
      <c r="CK92" s="302" t="str">
        <f>IFERROR(((CB92+CD92+CF92)/VLOOKUP(BZ92,bhpc_data[],9,FALSE))*VLOOKUP(BZ92,bhpc_data[],18,FALSE),"")</f>
        <v/>
      </c>
      <c r="CL92" s="346" t="str">
        <f>IFERROR((CB92+CD92)/VLOOKUP(BZ92,bhpc_data[],9,FALSE)*VLOOKUP(BZ92,bhpc_data[],14,FALSE)*VLOOKUP(BZ92,bhpc_data[],15,FALSE)*VLOOKUP(BZ92,bhpc_data[],16,FALSE)/1000000000,"")</f>
        <v/>
      </c>
      <c r="CM92" s="409" t="str">
        <f>IFERROR(VLOOKUP(BZ92,bhpc_data[],2,FALSE),"")</f>
        <v/>
      </c>
      <c r="CN92" s="409" t="str">
        <f>IFERROR(VLOOKUP(BZ92,bhpc_data[],19,FALSE),"")</f>
        <v/>
      </c>
      <c r="CO92" s="653" t="str">
        <f>IFERROR(VLOOKUP(BZ92,bhpc_data[],6,FALSE),"")</f>
        <v/>
      </c>
      <c r="CP92" s="654" t="str">
        <f>IFERROR(VLOOKUP(BZ92,inventory[],4,FALSE),"")</f>
        <v/>
      </c>
      <c r="CQ92" s="651" t="str">
        <f>IFERROR(IF(BZ92="","",IF($BX$15="SALE",VLOOKUP(BZ92,inventory[],5,FALSE),IF($BX$15="SAMPLING",VLOOKUP(BZ92,inventory[],5,FALSE),""))),"")</f>
        <v/>
      </c>
      <c r="CR92" s="652" t="str">
        <f>IFERROR(IF(BZ92="","",(CB92+CD92+CF92)*CQ92),"")</f>
        <v/>
      </c>
      <c r="CS92" s="557" t="str">
        <f>IF(BZ92="","",CB92*CC92+CD92*CE92)</f>
        <v/>
      </c>
      <c r="DA92" s="540" t="str">
        <f>IFERROR(VLOOKUP(BZ92,bhpc_data[],22,FALSE),"")</f>
        <v/>
      </c>
      <c r="EE92" s="454" t="s">
        <v>220</v>
      </c>
      <c r="EF92" s="447" t="str">
        <f>VLOOKUP(EE92,bhpc_data[],7,FALSE)</f>
        <v>BHPC TWINPACK SPORTS MEN DEO #8 #9 175ML</v>
      </c>
      <c r="EG92" s="555">
        <f>IFERROR(VLOOKUP(EE92,inventory[],4,FALSE),0)</f>
        <v>0</v>
      </c>
      <c r="EH92" s="555">
        <f>IFERROR(VLOOKUP(warehouse[[#This Row],[SKU]],$EQ$10:$ES$38,3,FALSE),0)</f>
        <v>0</v>
      </c>
      <c r="EI92" s="555">
        <f>IFERROR(VLOOKUP(warehouse[[#This Row],[SKU]],$EM$10:$EO$61,3,FALSE),0)</f>
        <v>0</v>
      </c>
      <c r="EJ92" s="555">
        <f>warehouse[[#This Row],[T-1]]+warehouse[[#This Row],[SUPPLY]]-warehouse[[#This Row],[SALE + SAMPLING]]</f>
        <v>0</v>
      </c>
      <c r="EK92" s="449"/>
    </row>
    <row r="93" spans="59:141" ht="15" customHeight="1">
      <c r="BK93" s="146"/>
      <c r="BL93" s="147"/>
      <c r="BM93" s="148"/>
      <c r="BN93" s="147"/>
      <c r="BO93" s="148"/>
      <c r="BZ93" s="305"/>
      <c r="CA93" s="270" t="str">
        <f>IF(BZ93="","",VLOOKUP(BZ93,bhpc_data[],7,FALSE))</f>
        <v/>
      </c>
      <c r="CB93" s="296"/>
      <c r="CC93" s="642"/>
      <c r="CD93" s="306"/>
      <c r="CE93" s="646"/>
      <c r="CF93" s="307"/>
      <c r="CG93" s="301" t="str">
        <f>IFERROR(ROUNDUP(CB93/VLOOKUP(BZ93,bhpc_data[],9,FALSE),0)+ROUNDUP(CD93/VLOOKUP(BZ93,bhpc_data[],9,FALSE),0),"")</f>
        <v/>
      </c>
      <c r="CH93" s="302" t="str">
        <f>IFERROR(ROUNDUP(CD93/VLOOKUP(BZ93,bhpc_data[],9,FALSE),0),"")</f>
        <v/>
      </c>
      <c r="CI93" s="302" t="str">
        <f>IFERROR(ROUNDUP(CF93/VLOOKUP(BZ93,bhpc_data[],9,FALSE),0),"")</f>
        <v/>
      </c>
      <c r="CJ93" s="302" t="str">
        <f>IFERROR(((CB93+CD93+CF93)/VLOOKUP(BZ93,bhpc_data[],9,FALSE))*VLOOKUP(BZ93,bhpc_data[],17,FALSE),"")</f>
        <v/>
      </c>
      <c r="CK93" s="302" t="str">
        <f>IFERROR(((CB93+CD93+CF93)/VLOOKUP(BZ93,bhpc_data[],9,FALSE))*VLOOKUP(BZ93,bhpc_data[],18,FALSE),"")</f>
        <v/>
      </c>
      <c r="CL93" s="346" t="str">
        <f>IFERROR((CB93+CD93)/VLOOKUP(BZ93,bhpc_data[],9,FALSE)*VLOOKUP(BZ93,bhpc_data[],14,FALSE)*VLOOKUP(BZ93,bhpc_data[],15,FALSE)*VLOOKUP(BZ93,bhpc_data[],16,FALSE)/1000000000,"")</f>
        <v/>
      </c>
      <c r="CM93" s="409" t="str">
        <f>IFERROR(VLOOKUP(BZ93,bhpc_data[],2,FALSE),"")</f>
        <v/>
      </c>
      <c r="CN93" s="409" t="str">
        <f>IFERROR(VLOOKUP(BZ93,bhpc_data[],19,FALSE),"")</f>
        <v/>
      </c>
      <c r="CO93" s="653" t="str">
        <f>IFERROR(VLOOKUP(BZ93,bhpc_data[],6,FALSE),"")</f>
        <v/>
      </c>
      <c r="CP93" s="654" t="str">
        <f>IFERROR(VLOOKUP(BZ93,inventory[],4,FALSE),"")</f>
        <v/>
      </c>
      <c r="CQ93" s="651" t="str">
        <f>IFERROR(IF(BZ93="","",IF($BX$15="SALE",VLOOKUP(BZ93,inventory[],5,FALSE),IF($BX$15="SAMPLING",VLOOKUP(BZ93,inventory[],5,FALSE),""))),"")</f>
        <v/>
      </c>
      <c r="CR93" s="652" t="str">
        <f>IFERROR(IF(BZ93="","",(CB93+CD93+CF93)*CQ93),"")</f>
        <v/>
      </c>
      <c r="CS93" s="557" t="str">
        <f>IF(BZ93="","",CB93*CC93+CD93*CE93)</f>
        <v/>
      </c>
      <c r="DA93" s="540" t="str">
        <f>IFERROR(VLOOKUP(BZ93,bhpc_data[],22,FALSE),"")</f>
        <v/>
      </c>
      <c r="EE93" s="454" t="s">
        <v>222</v>
      </c>
      <c r="EF93" s="447" t="str">
        <f>VLOOKUP(EE93,bhpc_data[],7,FALSE)</f>
        <v>BHPC TWINPACK DEO WOMEN #1 #8 150ML</v>
      </c>
      <c r="EG93" s="555">
        <f>IFERROR(VLOOKUP(EE93,inventory[],4,FALSE),0)</f>
        <v>0</v>
      </c>
      <c r="EH93" s="555">
        <f>IFERROR(VLOOKUP(warehouse[[#This Row],[SKU]],$EQ$10:$ES$38,3,FALSE),0)</f>
        <v>0</v>
      </c>
      <c r="EI93" s="555">
        <f>IFERROR(VLOOKUP(warehouse[[#This Row],[SKU]],$EM$10:$EO$61,3,FALSE),0)</f>
        <v>0</v>
      </c>
      <c r="EJ93" s="555">
        <f>warehouse[[#This Row],[T-1]]+warehouse[[#This Row],[SUPPLY]]-warehouse[[#This Row],[SALE + SAMPLING]]</f>
        <v>0</v>
      </c>
      <c r="EK93" s="449"/>
    </row>
    <row r="94" spans="59:141" ht="15" customHeight="1">
      <c r="BK94" s="146"/>
      <c r="BL94" s="147"/>
      <c r="BM94" s="148"/>
      <c r="BN94" s="147"/>
      <c r="BO94" s="148"/>
      <c r="BZ94" s="305"/>
      <c r="CA94" s="270" t="str">
        <f>IF(BZ94="","",VLOOKUP(BZ94,bhpc_data[],7,FALSE))</f>
        <v/>
      </c>
      <c r="CB94" s="296"/>
      <c r="CC94" s="642"/>
      <c r="CD94" s="306"/>
      <c r="CE94" s="646"/>
      <c r="CF94" s="307"/>
      <c r="CG94" s="301" t="str">
        <f>IFERROR(ROUNDUP(CB94/VLOOKUP(BZ94,bhpc_data[],9,FALSE),0)+ROUNDUP(CD94/VLOOKUP(BZ94,bhpc_data[],9,FALSE),0),"")</f>
        <v/>
      </c>
      <c r="CH94" s="302" t="str">
        <f>IFERROR(ROUNDUP(CD94/VLOOKUP(BZ94,bhpc_data[],9,FALSE),0),"")</f>
        <v/>
      </c>
      <c r="CI94" s="302" t="str">
        <f>IFERROR(ROUNDUP(CF94/VLOOKUP(BZ94,bhpc_data[],9,FALSE),0),"")</f>
        <v/>
      </c>
      <c r="CJ94" s="302" t="str">
        <f>IFERROR(((CB94+CD94+CF94)/VLOOKUP(BZ94,bhpc_data[],9,FALSE))*VLOOKUP(BZ94,bhpc_data[],17,FALSE),"")</f>
        <v/>
      </c>
      <c r="CK94" s="302" t="str">
        <f>IFERROR(((CB94+CD94+CF94)/VLOOKUP(BZ94,bhpc_data[],9,FALSE))*VLOOKUP(BZ94,bhpc_data[],18,FALSE),"")</f>
        <v/>
      </c>
      <c r="CL94" s="346" t="str">
        <f>IFERROR((CB94+CD94)/VLOOKUP(BZ94,bhpc_data[],9,FALSE)*VLOOKUP(BZ94,bhpc_data[],14,FALSE)*VLOOKUP(BZ94,bhpc_data[],15,FALSE)*VLOOKUP(BZ94,bhpc_data[],16,FALSE)/1000000000,"")</f>
        <v/>
      </c>
      <c r="CM94" s="409" t="str">
        <f>IFERROR(VLOOKUP(BZ94,bhpc_data[],2,FALSE),"")</f>
        <v/>
      </c>
      <c r="CN94" s="409" t="str">
        <f>IFERROR(VLOOKUP(BZ94,bhpc_data[],19,FALSE),"")</f>
        <v/>
      </c>
      <c r="CO94" s="653" t="str">
        <f>IFERROR(VLOOKUP(BZ94,bhpc_data[],6,FALSE),"")</f>
        <v/>
      </c>
      <c r="CP94" s="654" t="str">
        <f>IFERROR(VLOOKUP(BZ94,inventory[],4,FALSE),"")</f>
        <v/>
      </c>
      <c r="CQ94" s="651" t="str">
        <f>IFERROR(IF(BZ94="","",IF($BX$15="SALE",VLOOKUP(BZ94,inventory[],5,FALSE),IF($BX$15="SAMPLING",VLOOKUP(BZ94,inventory[],5,FALSE),""))),"")</f>
        <v/>
      </c>
      <c r="CR94" s="652" t="str">
        <f>IFERROR(IF(BZ94="","",(CB94+CD94+CF94)*CQ94),"")</f>
        <v/>
      </c>
      <c r="CS94" s="557" t="str">
        <f>IF(BZ94="","",CB94*CC94+CD94*CE94)</f>
        <v/>
      </c>
      <c r="DA94" s="540" t="str">
        <f>IFERROR(VLOOKUP(BZ94,bhpc_data[],22,FALSE),"")</f>
        <v/>
      </c>
      <c r="EE94" s="454" t="s">
        <v>224</v>
      </c>
      <c r="EF94" s="447" t="str">
        <f>VLOOKUP(EE94,bhpc_data[],7,FALSE)</f>
        <v>BHPC TWINPACK DEO WOMEN #1 #9 150ML</v>
      </c>
      <c r="EG94" s="555">
        <f>IFERROR(VLOOKUP(EE94,inventory[],4,FALSE),0)</f>
        <v>0</v>
      </c>
      <c r="EH94" s="555">
        <f>IFERROR(VLOOKUP(warehouse[[#This Row],[SKU]],$EQ$10:$ES$38,3,FALSE),0)</f>
        <v>0</v>
      </c>
      <c r="EI94" s="555">
        <f>IFERROR(VLOOKUP(warehouse[[#This Row],[SKU]],$EM$10:$EO$61,3,FALSE),0)</f>
        <v>0</v>
      </c>
      <c r="EJ94" s="555">
        <f>warehouse[[#This Row],[T-1]]+warehouse[[#This Row],[SUPPLY]]-warehouse[[#This Row],[SALE + SAMPLING]]</f>
        <v>0</v>
      </c>
      <c r="EK94" s="449"/>
    </row>
    <row r="95" spans="59:141" ht="15" customHeight="1">
      <c r="BK95" s="146"/>
      <c r="BL95" s="147"/>
      <c r="BM95" s="148"/>
      <c r="BN95" s="147"/>
      <c r="BO95" s="148"/>
      <c r="BZ95" s="305"/>
      <c r="CA95" s="270" t="str">
        <f>IF(BZ95="","",VLOOKUP(BZ95,bhpc_data[],7,FALSE))</f>
        <v/>
      </c>
      <c r="CB95" s="296"/>
      <c r="CC95" s="642"/>
      <c r="CD95" s="306"/>
      <c r="CE95" s="646"/>
      <c r="CF95" s="307"/>
      <c r="CG95" s="301" t="str">
        <f>IFERROR(ROUNDUP(CB95/VLOOKUP(BZ95,bhpc_data[],9,FALSE),0)+ROUNDUP(CD95/VLOOKUP(BZ95,bhpc_data[],9,FALSE),0),"")</f>
        <v/>
      </c>
      <c r="CH95" s="302" t="str">
        <f>IFERROR(ROUNDUP(CD95/VLOOKUP(BZ95,bhpc_data[],9,FALSE),0),"")</f>
        <v/>
      </c>
      <c r="CI95" s="302" t="str">
        <f>IFERROR(ROUNDUP(CF95/VLOOKUP(BZ95,bhpc_data[],9,FALSE),0),"")</f>
        <v/>
      </c>
      <c r="CJ95" s="302" t="str">
        <f>IFERROR(((CB95+CD95+CF95)/VLOOKUP(BZ95,bhpc_data[],9,FALSE))*VLOOKUP(BZ95,bhpc_data[],17,FALSE),"")</f>
        <v/>
      </c>
      <c r="CK95" s="302" t="str">
        <f>IFERROR(((CB95+CD95+CF95)/VLOOKUP(BZ95,bhpc_data[],9,FALSE))*VLOOKUP(BZ95,bhpc_data[],18,FALSE),"")</f>
        <v/>
      </c>
      <c r="CL95" s="346" t="str">
        <f>IFERROR((CB95+CD95)/VLOOKUP(BZ95,bhpc_data[],9,FALSE)*VLOOKUP(BZ95,bhpc_data[],14,FALSE)*VLOOKUP(BZ95,bhpc_data[],15,FALSE)*VLOOKUP(BZ95,bhpc_data[],16,FALSE)/1000000000,"")</f>
        <v/>
      </c>
      <c r="CM95" s="409" t="str">
        <f>IFERROR(VLOOKUP(BZ95,bhpc_data[],2,FALSE),"")</f>
        <v/>
      </c>
      <c r="CN95" s="409" t="str">
        <f>IFERROR(VLOOKUP(BZ95,bhpc_data[],19,FALSE),"")</f>
        <v/>
      </c>
      <c r="CO95" s="653" t="str">
        <f>IFERROR(VLOOKUP(BZ95,bhpc_data[],6,FALSE),"")</f>
        <v/>
      </c>
      <c r="CP95" s="654" t="str">
        <f>IFERROR(VLOOKUP(BZ95,inventory[],4,FALSE),"")</f>
        <v/>
      </c>
      <c r="CQ95" s="651" t="str">
        <f>IFERROR(IF(BZ95="","",IF($BX$15="SALE",VLOOKUP(BZ95,inventory[],5,FALSE),IF($BX$15="SAMPLING",VLOOKUP(BZ95,inventory[],5,FALSE),""))),"")</f>
        <v/>
      </c>
      <c r="CR95" s="652" t="str">
        <f>IFERROR(IF(BZ95="","",(CB95+CD95+CF95)*CQ95),"")</f>
        <v/>
      </c>
      <c r="CS95" s="557" t="str">
        <f>IF(BZ95="","",CB95*CC95+CD95*CE95)</f>
        <v/>
      </c>
      <c r="DA95" s="540" t="str">
        <f>IFERROR(VLOOKUP(BZ95,bhpc_data[],22,FALSE),"")</f>
        <v/>
      </c>
      <c r="EE95" s="454" t="s">
        <v>226</v>
      </c>
      <c r="EF95" s="447" t="str">
        <f>VLOOKUP(EE95,bhpc_data[],7,FALSE)</f>
        <v>BHPC TWINPACK DEO WOMEN #8 #9 150ML</v>
      </c>
      <c r="EG95" s="555">
        <f>IFERROR(VLOOKUP(EE95,inventory[],4,FALSE),0)</f>
        <v>0</v>
      </c>
      <c r="EH95" s="555">
        <f>IFERROR(VLOOKUP(warehouse[[#This Row],[SKU]],$EQ$10:$ES$38,3,FALSE),0)</f>
        <v>0</v>
      </c>
      <c r="EI95" s="555">
        <f>IFERROR(VLOOKUP(warehouse[[#This Row],[SKU]],$EM$10:$EO$61,3,FALSE),0)</f>
        <v>0</v>
      </c>
      <c r="EJ95" s="555">
        <f>warehouse[[#This Row],[T-1]]+warehouse[[#This Row],[SUPPLY]]-warehouse[[#This Row],[SALE + SAMPLING]]</f>
        <v>0</v>
      </c>
      <c r="EK95" s="449"/>
    </row>
    <row r="96" spans="59:141" ht="15" customHeight="1">
      <c r="BK96" s="146"/>
      <c r="BL96" s="147"/>
      <c r="BM96" s="148"/>
      <c r="BN96" s="147"/>
      <c r="BO96" s="148"/>
      <c r="BZ96" s="305"/>
      <c r="CA96" s="270" t="str">
        <f>IF(BZ96="","",VLOOKUP(BZ96,bhpc_data[],7,FALSE))</f>
        <v/>
      </c>
      <c r="CB96" s="296"/>
      <c r="CC96" s="642"/>
      <c r="CD96" s="306"/>
      <c r="CE96" s="646"/>
      <c r="CF96" s="307"/>
      <c r="CG96" s="301" t="str">
        <f>IFERROR(ROUNDUP(CB96/VLOOKUP(BZ96,bhpc_data[],9,FALSE),0)+ROUNDUP(CD96/VLOOKUP(BZ96,bhpc_data[],9,FALSE),0),"")</f>
        <v/>
      </c>
      <c r="CH96" s="302" t="str">
        <f>IFERROR(ROUNDUP(CD96/VLOOKUP(BZ96,bhpc_data[],9,FALSE),0),"")</f>
        <v/>
      </c>
      <c r="CI96" s="302" t="str">
        <f>IFERROR(ROUNDUP(CF96/VLOOKUP(BZ96,bhpc_data[],9,FALSE),0),"")</f>
        <v/>
      </c>
      <c r="CJ96" s="302" t="str">
        <f>IFERROR(((CB96+CD96+CF96)/VLOOKUP(BZ96,bhpc_data[],9,FALSE))*VLOOKUP(BZ96,bhpc_data[],17,FALSE),"")</f>
        <v/>
      </c>
      <c r="CK96" s="302" t="str">
        <f>IFERROR(((CB96+CD96+CF96)/VLOOKUP(BZ96,bhpc_data[],9,FALSE))*VLOOKUP(BZ96,bhpc_data[],18,FALSE),"")</f>
        <v/>
      </c>
      <c r="CL96" s="346" t="str">
        <f>IFERROR((CB96+CD96)/VLOOKUP(BZ96,bhpc_data[],9,FALSE)*VLOOKUP(BZ96,bhpc_data[],14,FALSE)*VLOOKUP(BZ96,bhpc_data[],15,FALSE)*VLOOKUP(BZ96,bhpc_data[],16,FALSE)/1000000000,"")</f>
        <v/>
      </c>
      <c r="CM96" s="409" t="str">
        <f>IFERROR(VLOOKUP(BZ96,bhpc_data[],2,FALSE),"")</f>
        <v/>
      </c>
      <c r="CN96" s="409" t="str">
        <f>IFERROR(VLOOKUP(BZ96,bhpc_data[],19,FALSE),"")</f>
        <v/>
      </c>
      <c r="CO96" s="653" t="str">
        <f>IFERROR(VLOOKUP(BZ96,bhpc_data[],6,FALSE),"")</f>
        <v/>
      </c>
      <c r="CP96" s="654" t="str">
        <f>IFERROR(VLOOKUP(BZ96,inventory[],4,FALSE),"")</f>
        <v/>
      </c>
      <c r="CQ96" s="651" t="str">
        <f>IFERROR(IF(BZ96="","",IF($BX$15="SALE",VLOOKUP(BZ96,inventory[],5,FALSE),IF($BX$15="SAMPLING",VLOOKUP(BZ96,inventory[],5,FALSE),""))),"")</f>
        <v/>
      </c>
      <c r="CR96" s="652" t="str">
        <f>IFERROR(IF(BZ96="","",(CB96+CD96+CF96)*CQ96),"")</f>
        <v/>
      </c>
      <c r="CS96" s="557" t="str">
        <f>IF(BZ96="","",CB96*CC96+CD96*CE96)</f>
        <v/>
      </c>
      <c r="DA96" s="540" t="str">
        <f>IFERROR(VLOOKUP(BZ96,bhpc_data[],22,FALSE),"")</f>
        <v/>
      </c>
      <c r="EE96" s="454" t="s">
        <v>529</v>
      </c>
      <c r="EF96" s="447" t="str">
        <f>VLOOKUP(EE96,bhpc_data[],7,FALSE)</f>
        <v>BHPC BOX TWIN PACK DEO MEN</v>
      </c>
      <c r="EG96" s="555">
        <f>IFERROR(VLOOKUP(EE96,inventory[],4,FALSE),0)</f>
        <v>0</v>
      </c>
      <c r="EH96" s="555">
        <f>IFERROR(VLOOKUP(warehouse[[#This Row],[SKU]],$EQ$10:$ES$38,3,FALSE),0)</f>
        <v>0</v>
      </c>
      <c r="EI96" s="555">
        <f>IFERROR(VLOOKUP(warehouse[[#This Row],[SKU]],$EM$10:$EO$61,3,FALSE),0)</f>
        <v>0</v>
      </c>
      <c r="EJ96" s="555">
        <f>warehouse[[#This Row],[T-1]]+warehouse[[#This Row],[SUPPLY]]-warehouse[[#This Row],[SALE + SAMPLING]]</f>
        <v>0</v>
      </c>
      <c r="EK96" s="449"/>
    </row>
    <row r="97" spans="63:141" ht="15" customHeight="1">
      <c r="BK97" s="146"/>
      <c r="BL97" s="147"/>
      <c r="BM97" s="148"/>
      <c r="BN97" s="147"/>
      <c r="BO97" s="148"/>
      <c r="BZ97" s="305"/>
      <c r="CA97" s="270" t="str">
        <f>IF(BZ97="","",VLOOKUP(BZ97,bhpc_data[],7,FALSE))</f>
        <v/>
      </c>
      <c r="CB97" s="296"/>
      <c r="CC97" s="642"/>
      <c r="CD97" s="306"/>
      <c r="CE97" s="646"/>
      <c r="CF97" s="307"/>
      <c r="CG97" s="301" t="str">
        <f>IFERROR(ROUNDUP(CB97/VLOOKUP(BZ97,bhpc_data[],9,FALSE),0)+ROUNDUP(CD97/VLOOKUP(BZ97,bhpc_data[],9,FALSE),0),"")</f>
        <v/>
      </c>
      <c r="CH97" s="302" t="str">
        <f>IFERROR(ROUNDUP(CD97/VLOOKUP(BZ97,bhpc_data[],9,FALSE),0),"")</f>
        <v/>
      </c>
      <c r="CI97" s="302" t="str">
        <f>IFERROR(ROUNDUP(CF97/VLOOKUP(BZ97,bhpc_data[],9,FALSE),0),"")</f>
        <v/>
      </c>
      <c r="CJ97" s="302" t="str">
        <f>IFERROR(((CB97+CD97+CF97)/VLOOKUP(BZ97,bhpc_data[],9,FALSE))*VLOOKUP(BZ97,bhpc_data[],17,FALSE),"")</f>
        <v/>
      </c>
      <c r="CK97" s="302" t="str">
        <f>IFERROR(((CB97+CD97+CF97)/VLOOKUP(BZ97,bhpc_data[],9,FALSE))*VLOOKUP(BZ97,bhpc_data[],18,FALSE),"")</f>
        <v/>
      </c>
      <c r="CL97" s="346" t="str">
        <f>IFERROR((CB97+CD97)/VLOOKUP(BZ97,bhpc_data[],9,FALSE)*VLOOKUP(BZ97,bhpc_data[],14,FALSE)*VLOOKUP(BZ97,bhpc_data[],15,FALSE)*VLOOKUP(BZ97,bhpc_data[],16,FALSE)/1000000000,"")</f>
        <v/>
      </c>
      <c r="CM97" s="409" t="str">
        <f>IFERROR(VLOOKUP(BZ97,bhpc_data[],2,FALSE),"")</f>
        <v/>
      </c>
      <c r="CN97" s="409" t="str">
        <f>IFERROR(VLOOKUP(BZ97,bhpc_data[],19,FALSE),"")</f>
        <v/>
      </c>
      <c r="CO97" s="653" t="str">
        <f>IFERROR(VLOOKUP(BZ97,bhpc_data[],6,FALSE),"")</f>
        <v/>
      </c>
      <c r="CP97" s="654" t="str">
        <f>IFERROR(VLOOKUP(BZ97,inventory[],4,FALSE),"")</f>
        <v/>
      </c>
      <c r="CQ97" s="651" t="str">
        <f>IFERROR(IF(BZ97="","",IF($BX$15="SALE",VLOOKUP(BZ97,inventory[],5,FALSE),IF($BX$15="SAMPLING",VLOOKUP(BZ97,inventory[],5,FALSE),""))),"")</f>
        <v/>
      </c>
      <c r="CR97" s="652" t="str">
        <f>IFERROR(IF(BZ97="","",(CB97+CD97+CF97)*CQ97),"")</f>
        <v/>
      </c>
      <c r="CS97" s="557" t="str">
        <f>IF(BZ97="","",CB97*CC97+CD97*CE97)</f>
        <v/>
      </c>
      <c r="DA97" s="540" t="str">
        <f>IFERROR(VLOOKUP(BZ97,bhpc_data[],22,FALSE),"")</f>
        <v/>
      </c>
      <c r="EE97" s="454" t="s">
        <v>531</v>
      </c>
      <c r="EF97" s="447" t="str">
        <f>VLOOKUP(EE97,bhpc_data[],7,FALSE)</f>
        <v>BHPC BOX TWIN PACK DEO WOMEN</v>
      </c>
      <c r="EG97" s="555">
        <f>IFERROR(VLOOKUP(EE97,inventory[],4,FALSE),0)</f>
        <v>0</v>
      </c>
      <c r="EH97" s="555">
        <f>IFERROR(VLOOKUP(warehouse[[#This Row],[SKU]],$EQ$10:$ES$38,3,FALSE),0)</f>
        <v>0</v>
      </c>
      <c r="EI97" s="555">
        <f>IFERROR(VLOOKUP(warehouse[[#This Row],[SKU]],$EM$10:$EO$61,3,FALSE),0)</f>
        <v>0</v>
      </c>
      <c r="EJ97" s="555">
        <f>warehouse[[#This Row],[T-1]]+warehouse[[#This Row],[SUPPLY]]-warehouse[[#This Row],[SALE + SAMPLING]]</f>
        <v>0</v>
      </c>
      <c r="EK97" s="449"/>
    </row>
    <row r="98" spans="63:141" ht="15" customHeight="1">
      <c r="BK98" s="146"/>
      <c r="BL98" s="147"/>
      <c r="BM98" s="148"/>
      <c r="BN98" s="147"/>
      <c r="BO98" s="148"/>
      <c r="BZ98" s="305"/>
      <c r="CA98" s="270" t="str">
        <f>IF(BZ98="","",VLOOKUP(BZ98,bhpc_data[],7,FALSE))</f>
        <v/>
      </c>
      <c r="CB98" s="296"/>
      <c r="CC98" s="642"/>
      <c r="CD98" s="306"/>
      <c r="CE98" s="646"/>
      <c r="CF98" s="307"/>
      <c r="CG98" s="301" t="str">
        <f>IFERROR(ROUNDUP(CB98/VLOOKUP(BZ98,bhpc_data[],9,FALSE),0)+ROUNDUP(CD98/VLOOKUP(BZ98,bhpc_data[],9,FALSE),0),"")</f>
        <v/>
      </c>
      <c r="CH98" s="302" t="str">
        <f>IFERROR(ROUNDUP(CD98/VLOOKUP(BZ98,bhpc_data[],9,FALSE),0),"")</f>
        <v/>
      </c>
      <c r="CI98" s="302" t="str">
        <f>IFERROR(ROUNDUP(CF98/VLOOKUP(BZ98,bhpc_data[],9,FALSE),0),"")</f>
        <v/>
      </c>
      <c r="CJ98" s="302" t="str">
        <f>IFERROR(((CB98+CD98+CF98)/VLOOKUP(BZ98,bhpc_data[],9,FALSE))*VLOOKUP(BZ98,bhpc_data[],17,FALSE),"")</f>
        <v/>
      </c>
      <c r="CK98" s="302" t="str">
        <f>IFERROR(((CB98+CD98+CF98)/VLOOKUP(BZ98,bhpc_data[],9,FALSE))*VLOOKUP(BZ98,bhpc_data[],18,FALSE),"")</f>
        <v/>
      </c>
      <c r="CL98" s="346" t="str">
        <f>IFERROR((CB98+CD98)/VLOOKUP(BZ98,bhpc_data[],9,FALSE)*VLOOKUP(BZ98,bhpc_data[],14,FALSE)*VLOOKUP(BZ98,bhpc_data[],15,FALSE)*VLOOKUP(BZ98,bhpc_data[],16,FALSE)/1000000000,"")</f>
        <v/>
      </c>
      <c r="CM98" s="409" t="str">
        <f>IFERROR(VLOOKUP(BZ98,bhpc_data[],2,FALSE),"")</f>
        <v/>
      </c>
      <c r="CN98" s="409" t="str">
        <f>IFERROR(VLOOKUP(BZ98,bhpc_data[],19,FALSE),"")</f>
        <v/>
      </c>
      <c r="CO98" s="653" t="str">
        <f>IFERROR(VLOOKUP(BZ98,bhpc_data[],6,FALSE),"")</f>
        <v/>
      </c>
      <c r="CP98" s="654" t="str">
        <f>IFERROR(VLOOKUP(BZ98,inventory[],4,FALSE),"")</f>
        <v/>
      </c>
      <c r="CQ98" s="651" t="str">
        <f>IFERROR(IF(BZ98="","",IF($BX$15="SALE",VLOOKUP(BZ98,inventory[],5,FALSE),IF($BX$15="SAMPLING",VLOOKUP(BZ98,inventory[],5,FALSE),""))),"")</f>
        <v/>
      </c>
      <c r="CR98" s="652" t="str">
        <f>IFERROR(IF(BZ98="","",(CB98+CD98+CF98)*CQ98),"")</f>
        <v/>
      </c>
      <c r="CS98" s="557" t="str">
        <f>IF(BZ98="","",CB98*CC98+CD98*CE98)</f>
        <v/>
      </c>
      <c r="DA98" s="540" t="str">
        <f>IFERROR(VLOOKUP(BZ98,bhpc_data[],22,FALSE),"")</f>
        <v/>
      </c>
      <c r="EE98" s="454" t="s">
        <v>951</v>
      </c>
      <c r="EF98" s="447" t="str">
        <f>VLOOKUP(EE98,bhpc_data[],7,FALSE)</f>
        <v>BHPC GIFT BOX MEN NO.1 100ML</v>
      </c>
      <c r="EG98" s="555">
        <f>IFERROR(VLOOKUP(EE98,inventory[],4,FALSE),0)</f>
        <v>0</v>
      </c>
      <c r="EH98" s="555">
        <f>IFERROR(VLOOKUP(warehouse[[#This Row],[SKU]],$EQ$10:$ES$38,3,FALSE),0)</f>
        <v>0</v>
      </c>
      <c r="EI98" s="555">
        <f>IFERROR(VLOOKUP(warehouse[[#This Row],[SKU]],$EM$10:$EO$61,3,FALSE),0)</f>
        <v>0</v>
      </c>
      <c r="EJ98" s="555">
        <f>warehouse[[#This Row],[T-1]]+warehouse[[#This Row],[SUPPLY]]-warehouse[[#This Row],[SALE + SAMPLING]]</f>
        <v>0</v>
      </c>
      <c r="EK98" s="449"/>
    </row>
    <row r="99" spans="63:141" ht="15" customHeight="1">
      <c r="BK99" s="146"/>
      <c r="BL99" s="147"/>
      <c r="BM99" s="148"/>
      <c r="BN99" s="147"/>
      <c r="BO99" s="148"/>
      <c r="BZ99" s="305"/>
      <c r="CA99" s="270" t="str">
        <f>IF(BZ99="","",VLOOKUP(BZ99,bhpc_data[],7,FALSE))</f>
        <v/>
      </c>
      <c r="CB99" s="296"/>
      <c r="CC99" s="642"/>
      <c r="CD99" s="306"/>
      <c r="CE99" s="646"/>
      <c r="CF99" s="307"/>
      <c r="CG99" s="301" t="str">
        <f>IFERROR(ROUNDUP(CB99/VLOOKUP(BZ99,bhpc_data[],9,FALSE),0)+ROUNDUP(CD99/VLOOKUP(BZ99,bhpc_data[],9,FALSE),0),"")</f>
        <v/>
      </c>
      <c r="CH99" s="302" t="str">
        <f>IFERROR(ROUNDUP(CD99/VLOOKUP(BZ99,bhpc_data[],9,FALSE),0),"")</f>
        <v/>
      </c>
      <c r="CI99" s="302" t="str">
        <f>IFERROR(ROUNDUP(CF99/VLOOKUP(BZ99,bhpc_data[],9,FALSE),0),"")</f>
        <v/>
      </c>
      <c r="CJ99" s="302" t="str">
        <f>IFERROR(((CB99+CD99+CF99)/VLOOKUP(BZ99,bhpc_data[],9,FALSE))*VLOOKUP(BZ99,bhpc_data[],17,FALSE),"")</f>
        <v/>
      </c>
      <c r="CK99" s="302" t="str">
        <f>IFERROR(((CB99+CD99+CF99)/VLOOKUP(BZ99,bhpc_data[],9,FALSE))*VLOOKUP(BZ99,bhpc_data[],18,FALSE),"")</f>
        <v/>
      </c>
      <c r="CL99" s="346" t="str">
        <f>IFERROR((CB99+CD99)/VLOOKUP(BZ99,bhpc_data[],9,FALSE)*VLOOKUP(BZ99,bhpc_data[],14,FALSE)*VLOOKUP(BZ99,bhpc_data[],15,FALSE)*VLOOKUP(BZ99,bhpc_data[],16,FALSE)/1000000000,"")</f>
        <v/>
      </c>
      <c r="CM99" s="409" t="str">
        <f>IFERROR(VLOOKUP(BZ99,bhpc_data[],2,FALSE),"")</f>
        <v/>
      </c>
      <c r="CN99" s="409" t="str">
        <f>IFERROR(VLOOKUP(BZ99,bhpc_data[],19,FALSE),"")</f>
        <v/>
      </c>
      <c r="CO99" s="653" t="str">
        <f>IFERROR(VLOOKUP(BZ99,bhpc_data[],6,FALSE),"")</f>
        <v/>
      </c>
      <c r="CP99" s="654" t="str">
        <f>IFERROR(VLOOKUP(BZ99,inventory[],4,FALSE),"")</f>
        <v/>
      </c>
      <c r="CQ99" s="651" t="str">
        <f>IFERROR(IF(BZ99="","",IF($BX$15="SALE",VLOOKUP(BZ99,inventory[],5,FALSE),IF($BX$15="SAMPLING",VLOOKUP(BZ99,inventory[],5,FALSE),""))),"")</f>
        <v/>
      </c>
      <c r="CR99" s="652" t="str">
        <f>IFERROR(IF(BZ99="","",(CB99+CD99+CF99)*CQ99),"")</f>
        <v/>
      </c>
      <c r="CS99" s="557" t="str">
        <f>IF(BZ99="","",CB99*CC99+CD99*CE99)</f>
        <v/>
      </c>
      <c r="DA99" s="540" t="str">
        <f>IFERROR(VLOOKUP(BZ99,bhpc_data[],22,FALSE),"")</f>
        <v/>
      </c>
      <c r="EE99" s="454" t="s">
        <v>952</v>
      </c>
      <c r="EF99" s="447" t="str">
        <f>VLOOKUP(EE99,bhpc_data[],7,FALSE)</f>
        <v>BHPC GIFT BOX MEN NO.9 100ML</v>
      </c>
      <c r="EG99" s="555">
        <f>IFERROR(VLOOKUP(EE99,inventory[],4,FALSE),0)</f>
        <v>0</v>
      </c>
      <c r="EH99" s="555">
        <f>IFERROR(VLOOKUP(warehouse[[#This Row],[SKU]],$EQ$10:$ES$38,3,FALSE),0)</f>
        <v>0</v>
      </c>
      <c r="EI99" s="555">
        <f>IFERROR(VLOOKUP(warehouse[[#This Row],[SKU]],$EM$10:$EO$61,3,FALSE),0)</f>
        <v>0</v>
      </c>
      <c r="EJ99" s="555">
        <f>warehouse[[#This Row],[T-1]]+warehouse[[#This Row],[SUPPLY]]-warehouse[[#This Row],[SALE + SAMPLING]]</f>
        <v>0</v>
      </c>
      <c r="EK99" s="449"/>
    </row>
    <row r="100" spans="63:141" ht="15" customHeight="1">
      <c r="BK100" s="146"/>
      <c r="BL100" s="147"/>
      <c r="BM100" s="148"/>
      <c r="BN100" s="147"/>
      <c r="BO100" s="148"/>
      <c r="BZ100" s="305"/>
      <c r="CA100" s="270" t="str">
        <f>IF(BZ100="","",VLOOKUP(BZ100,bhpc_data[],7,FALSE))</f>
        <v/>
      </c>
      <c r="CB100" s="296"/>
      <c r="CC100" s="642"/>
      <c r="CD100" s="306"/>
      <c r="CE100" s="646"/>
      <c r="CF100" s="307"/>
      <c r="CG100" s="301" t="str">
        <f>IFERROR(ROUNDUP(CB100/VLOOKUP(BZ100,bhpc_data[],9,FALSE),0)+ROUNDUP(CD100/VLOOKUP(BZ100,bhpc_data[],9,FALSE),0),"")</f>
        <v/>
      </c>
      <c r="CH100" s="302" t="str">
        <f>IFERROR(ROUNDUP(CD100/VLOOKUP(BZ100,bhpc_data[],9,FALSE),0),"")</f>
        <v/>
      </c>
      <c r="CI100" s="302" t="str">
        <f>IFERROR(ROUNDUP(CF100/VLOOKUP(BZ100,bhpc_data[],9,FALSE),0),"")</f>
        <v/>
      </c>
      <c r="CJ100" s="302" t="str">
        <f>IFERROR(((CB100+CD100+CF100)/VLOOKUP(BZ100,bhpc_data[],9,FALSE))*VLOOKUP(BZ100,bhpc_data[],17,FALSE),"")</f>
        <v/>
      </c>
      <c r="CK100" s="302" t="str">
        <f>IFERROR(((CB100+CD100+CF100)/VLOOKUP(BZ100,bhpc_data[],9,FALSE))*VLOOKUP(BZ100,bhpc_data[],18,FALSE),"")</f>
        <v/>
      </c>
      <c r="CL100" s="346" t="str">
        <f>IFERROR((CB100+CD100)/VLOOKUP(BZ100,bhpc_data[],9,FALSE)*VLOOKUP(BZ100,bhpc_data[],14,FALSE)*VLOOKUP(BZ100,bhpc_data[],15,FALSE)*VLOOKUP(BZ100,bhpc_data[],16,FALSE)/1000000000,"")</f>
        <v/>
      </c>
      <c r="CM100" s="409" t="str">
        <f>IFERROR(VLOOKUP(BZ100,bhpc_data[],2,FALSE),"")</f>
        <v/>
      </c>
      <c r="CN100" s="409" t="str">
        <f>IFERROR(VLOOKUP(BZ100,bhpc_data[],19,FALSE),"")</f>
        <v/>
      </c>
      <c r="CO100" s="653" t="str">
        <f>IFERROR(VLOOKUP(BZ100,bhpc_data[],6,FALSE),"")</f>
        <v/>
      </c>
      <c r="CP100" s="654" t="str">
        <f>IFERROR(VLOOKUP(BZ100,inventory[],4,FALSE),"")</f>
        <v/>
      </c>
      <c r="CQ100" s="651" t="str">
        <f>IFERROR(IF(BZ100="","",IF($BX$15="SALE",VLOOKUP(BZ100,inventory[],5,FALSE),IF($BX$15="SAMPLING",VLOOKUP(BZ100,inventory[],5,FALSE),""))),"")</f>
        <v/>
      </c>
      <c r="CR100" s="652" t="str">
        <f>IFERROR(IF(BZ100="","",(CB100+CD100+CF100)*CQ100),"")</f>
        <v/>
      </c>
      <c r="CS100" s="557" t="str">
        <f>IF(BZ100="","",CB100*CC100+CD100*CE100)</f>
        <v/>
      </c>
      <c r="DA100" s="540" t="str">
        <f>IFERROR(VLOOKUP(BZ100,bhpc_data[],22,FALSE),"")</f>
        <v/>
      </c>
      <c r="EE100" s="454" t="s">
        <v>953</v>
      </c>
      <c r="EF100" s="447" t="str">
        <f>VLOOKUP(EE100,bhpc_data[],7,FALSE)</f>
        <v>BHPC GIFT BOX MEN NO.8 100ML</v>
      </c>
      <c r="EG100" s="555">
        <f>IFERROR(VLOOKUP(EE100,inventory[],4,FALSE),0)</f>
        <v>0</v>
      </c>
      <c r="EH100" s="555">
        <f>IFERROR(VLOOKUP(warehouse[[#This Row],[SKU]],$EQ$10:$ES$38,3,FALSE),0)</f>
        <v>0</v>
      </c>
      <c r="EI100" s="555">
        <f>IFERROR(VLOOKUP(warehouse[[#This Row],[SKU]],$EM$10:$EO$61,3,FALSE),0)</f>
        <v>0</v>
      </c>
      <c r="EJ100" s="555">
        <f>warehouse[[#This Row],[T-1]]+warehouse[[#This Row],[SUPPLY]]-warehouse[[#This Row],[SALE + SAMPLING]]</f>
        <v>0</v>
      </c>
      <c r="EK100" s="449"/>
    </row>
    <row r="101" spans="63:141" ht="15" customHeight="1">
      <c r="BK101" s="146"/>
      <c r="BL101" s="147"/>
      <c r="BM101" s="148"/>
      <c r="BN101" s="147"/>
      <c r="BO101" s="148"/>
      <c r="BZ101" s="305"/>
      <c r="CA101" s="270" t="str">
        <f>IF(BZ101="","",VLOOKUP(BZ101,bhpc_data[],7,FALSE))</f>
        <v/>
      </c>
      <c r="CB101" s="296"/>
      <c r="CC101" s="642"/>
      <c r="CD101" s="306"/>
      <c r="CE101" s="646"/>
      <c r="CF101" s="307"/>
      <c r="CG101" s="301" t="str">
        <f>IFERROR(ROUNDUP(CB101/VLOOKUP(BZ101,bhpc_data[],9,FALSE),0)+ROUNDUP(CD101/VLOOKUP(BZ101,bhpc_data[],9,FALSE),0),"")</f>
        <v/>
      </c>
      <c r="CH101" s="302" t="str">
        <f>IFERROR(ROUNDUP(CD101/VLOOKUP(BZ101,bhpc_data[],9,FALSE),0),"")</f>
        <v/>
      </c>
      <c r="CI101" s="302" t="str">
        <f>IFERROR(ROUNDUP(CF101/VLOOKUP(BZ101,bhpc_data[],9,FALSE),0),"")</f>
        <v/>
      </c>
      <c r="CJ101" s="302" t="str">
        <f>IFERROR(((CB101+CD101+CF101)/VLOOKUP(BZ101,bhpc_data[],9,FALSE))*VLOOKUP(BZ101,bhpc_data[],17,FALSE),"")</f>
        <v/>
      </c>
      <c r="CK101" s="302" t="str">
        <f>IFERROR(((CB101+CD101+CF101)/VLOOKUP(BZ101,bhpc_data[],9,FALSE))*VLOOKUP(BZ101,bhpc_data[],18,FALSE),"")</f>
        <v/>
      </c>
      <c r="CL101" s="346" t="str">
        <f>IFERROR((CB101+CD101)/VLOOKUP(BZ101,bhpc_data[],9,FALSE)*VLOOKUP(BZ101,bhpc_data[],14,FALSE)*VLOOKUP(BZ101,bhpc_data[],15,FALSE)*VLOOKUP(BZ101,bhpc_data[],16,FALSE)/1000000000,"")</f>
        <v/>
      </c>
      <c r="CM101" s="409" t="str">
        <f>IFERROR(VLOOKUP(BZ101,bhpc_data[],2,FALSE),"")</f>
        <v/>
      </c>
      <c r="CN101" s="409" t="str">
        <f>IFERROR(VLOOKUP(BZ101,bhpc_data[],19,FALSE),"")</f>
        <v/>
      </c>
      <c r="CO101" s="653" t="str">
        <f>IFERROR(VLOOKUP(BZ101,bhpc_data[],6,FALSE),"")</f>
        <v/>
      </c>
      <c r="CP101" s="654" t="str">
        <f>IFERROR(VLOOKUP(BZ101,inventory[],4,FALSE),"")</f>
        <v/>
      </c>
      <c r="CQ101" s="651" t="str">
        <f>IFERROR(IF(BZ101="","",IF($BX$15="SALE",VLOOKUP(BZ101,inventory[],5,FALSE),IF($BX$15="SAMPLING",VLOOKUP(BZ101,inventory[],5,FALSE),""))),"")</f>
        <v/>
      </c>
      <c r="CR101" s="652" t="str">
        <f>IFERROR(IF(BZ101="","",(CB101+CD101+CF101)*CQ101),"")</f>
        <v/>
      </c>
      <c r="CS101" s="557" t="str">
        <f>IF(BZ101="","",CB101*CC101+CD101*CE101)</f>
        <v/>
      </c>
      <c r="DA101" s="540" t="str">
        <f>IFERROR(VLOOKUP(BZ101,bhpc_data[],22,FALSE),"")</f>
        <v/>
      </c>
      <c r="EE101" s="454" t="s">
        <v>954</v>
      </c>
      <c r="EF101" s="447" t="str">
        <f>VLOOKUP(EE101,bhpc_data[],7,FALSE)</f>
        <v>BHPC GIFT BOX MEN NO.2 100ML</v>
      </c>
      <c r="EG101" s="555">
        <f>IFERROR(VLOOKUP(EE101,inventory[],4,FALSE),0)</f>
        <v>0</v>
      </c>
      <c r="EH101" s="555">
        <f>IFERROR(VLOOKUP(warehouse[[#This Row],[SKU]],$EQ$10:$ES$38,3,FALSE),0)</f>
        <v>0</v>
      </c>
      <c r="EI101" s="555">
        <f>IFERROR(VLOOKUP(warehouse[[#This Row],[SKU]],$EM$10:$EO$61,3,FALSE),0)</f>
        <v>0</v>
      </c>
      <c r="EJ101" s="555">
        <f>warehouse[[#This Row],[T-1]]+warehouse[[#This Row],[SUPPLY]]-warehouse[[#This Row],[SALE + SAMPLING]]</f>
        <v>0</v>
      </c>
      <c r="EK101" s="449"/>
    </row>
    <row r="102" spans="63:141" ht="15" customHeight="1">
      <c r="BK102" s="146"/>
      <c r="BL102" s="147"/>
      <c r="BM102" s="148"/>
      <c r="BN102" s="147"/>
      <c r="BO102" s="148"/>
      <c r="BZ102" s="305"/>
      <c r="CA102" s="270" t="str">
        <f>IF(BZ102="","",VLOOKUP(BZ102,bhpc_data[],7,FALSE))</f>
        <v/>
      </c>
      <c r="CB102" s="296"/>
      <c r="CC102" s="642"/>
      <c r="CD102" s="306"/>
      <c r="CE102" s="646"/>
      <c r="CF102" s="307"/>
      <c r="CG102" s="301" t="str">
        <f>IFERROR(ROUNDUP(CB102/VLOOKUP(BZ102,bhpc_data[],9,FALSE),0)+ROUNDUP(CD102/VLOOKUP(BZ102,bhpc_data[],9,FALSE),0),"")</f>
        <v/>
      </c>
      <c r="CH102" s="302" t="str">
        <f>IFERROR(ROUNDUP(CD102/VLOOKUP(BZ102,bhpc_data[],9,FALSE),0),"")</f>
        <v/>
      </c>
      <c r="CI102" s="302" t="str">
        <f>IFERROR(ROUNDUP(CF102/VLOOKUP(BZ102,bhpc_data[],9,FALSE),0),"")</f>
        <v/>
      </c>
      <c r="CJ102" s="302" t="str">
        <f>IFERROR(((CB102+CD102+CF102)/VLOOKUP(BZ102,bhpc_data[],9,FALSE))*VLOOKUP(BZ102,bhpc_data[],17,FALSE),"")</f>
        <v/>
      </c>
      <c r="CK102" s="302" t="str">
        <f>IFERROR(((CB102+CD102+CF102)/VLOOKUP(BZ102,bhpc_data[],9,FALSE))*VLOOKUP(BZ102,bhpc_data[],18,FALSE),"")</f>
        <v/>
      </c>
      <c r="CL102" s="346" t="str">
        <f>IFERROR((CB102+CD102)/VLOOKUP(BZ102,bhpc_data[],9,FALSE)*VLOOKUP(BZ102,bhpc_data[],14,FALSE)*VLOOKUP(BZ102,bhpc_data[],15,FALSE)*VLOOKUP(BZ102,bhpc_data[],16,FALSE)/1000000000,"")</f>
        <v/>
      </c>
      <c r="CM102" s="409" t="str">
        <f>IFERROR(VLOOKUP(BZ102,bhpc_data[],2,FALSE),"")</f>
        <v/>
      </c>
      <c r="CN102" s="409" t="str">
        <f>IFERROR(VLOOKUP(BZ102,bhpc_data[],19,FALSE),"")</f>
        <v/>
      </c>
      <c r="CO102" s="653" t="str">
        <f>IFERROR(VLOOKUP(BZ102,bhpc_data[],6,FALSE),"")</f>
        <v/>
      </c>
      <c r="CP102" s="654" t="str">
        <f>IFERROR(VLOOKUP(BZ102,inventory[],4,FALSE),"")</f>
        <v/>
      </c>
      <c r="CQ102" s="651" t="str">
        <f>IFERROR(IF(BZ102="","",IF($BX$15="SALE",VLOOKUP(BZ102,inventory[],5,FALSE),IF($BX$15="SAMPLING",VLOOKUP(BZ102,inventory[],5,FALSE),""))),"")</f>
        <v/>
      </c>
      <c r="CR102" s="652" t="str">
        <f>IFERROR(IF(BZ102="","",(CB102+CD102+CF102)*CQ102),"")</f>
        <v/>
      </c>
      <c r="CS102" s="557" t="str">
        <f>IF(BZ102="","",CB102*CC102+CD102*CE102)</f>
        <v/>
      </c>
      <c r="DA102" s="540" t="str">
        <f>IFERROR(VLOOKUP(BZ102,bhpc_data[],22,FALSE),"")</f>
        <v/>
      </c>
      <c r="EE102" s="454" t="s">
        <v>963</v>
      </c>
      <c r="EF102" s="447" t="str">
        <f>VLOOKUP(EE102,bhpc_data[],7,FALSE)</f>
        <v>BHPC GIFT BOX MEN NO.1 50ML</v>
      </c>
      <c r="EG102" s="555">
        <f>IFERROR(VLOOKUP(EE102,inventory[],4,FALSE),0)</f>
        <v>0</v>
      </c>
      <c r="EH102" s="555">
        <f>IFERROR(VLOOKUP(warehouse[[#This Row],[SKU]],$EQ$10:$ES$38,3,FALSE),0)</f>
        <v>0</v>
      </c>
      <c r="EI102" s="555">
        <f>IFERROR(VLOOKUP(warehouse[[#This Row],[SKU]],$EM$10:$EO$61,3,FALSE),0)</f>
        <v>0</v>
      </c>
      <c r="EJ102" s="555">
        <f>warehouse[[#This Row],[T-1]]+warehouse[[#This Row],[SUPPLY]]-warehouse[[#This Row],[SALE + SAMPLING]]</f>
        <v>0</v>
      </c>
      <c r="EK102" s="449"/>
    </row>
    <row r="103" spans="63:141" ht="15" customHeight="1">
      <c r="BK103" s="146"/>
      <c r="BL103" s="147"/>
      <c r="BM103" s="148"/>
      <c r="BN103" s="147"/>
      <c r="BO103" s="148"/>
      <c r="BZ103" s="305"/>
      <c r="CA103" s="270" t="str">
        <f>IF(BZ103="","",VLOOKUP(BZ103,bhpc_data[],7,FALSE))</f>
        <v/>
      </c>
      <c r="CB103" s="296"/>
      <c r="CC103" s="642"/>
      <c r="CD103" s="306"/>
      <c r="CE103" s="646"/>
      <c r="CF103" s="307"/>
      <c r="CG103" s="301" t="str">
        <f>IFERROR(ROUNDUP(CB103/VLOOKUP(BZ103,bhpc_data[],9,FALSE),0)+ROUNDUP(CD103/VLOOKUP(BZ103,bhpc_data[],9,FALSE),0),"")</f>
        <v/>
      </c>
      <c r="CH103" s="302" t="str">
        <f>IFERROR(ROUNDUP(CD103/VLOOKUP(BZ103,bhpc_data[],9,FALSE),0),"")</f>
        <v/>
      </c>
      <c r="CI103" s="302" t="str">
        <f>IFERROR(ROUNDUP(CF103/VLOOKUP(BZ103,bhpc_data[],9,FALSE),0),"")</f>
        <v/>
      </c>
      <c r="CJ103" s="302" t="str">
        <f>IFERROR(((CB103+CD103+CF103)/VLOOKUP(BZ103,bhpc_data[],9,FALSE))*VLOOKUP(BZ103,bhpc_data[],17,FALSE),"")</f>
        <v/>
      </c>
      <c r="CK103" s="302" t="str">
        <f>IFERROR(((CB103+CD103+CF103)/VLOOKUP(BZ103,bhpc_data[],9,FALSE))*VLOOKUP(BZ103,bhpc_data[],18,FALSE),"")</f>
        <v/>
      </c>
      <c r="CL103" s="346" t="str">
        <f>IFERROR((CB103+CD103)/VLOOKUP(BZ103,bhpc_data[],9,FALSE)*VLOOKUP(BZ103,bhpc_data[],14,FALSE)*VLOOKUP(BZ103,bhpc_data[],15,FALSE)*VLOOKUP(BZ103,bhpc_data[],16,FALSE)/1000000000,"")</f>
        <v/>
      </c>
      <c r="CM103" s="409" t="str">
        <f>IFERROR(VLOOKUP(BZ103,bhpc_data[],2,FALSE),"")</f>
        <v/>
      </c>
      <c r="CN103" s="409" t="str">
        <f>IFERROR(VLOOKUP(BZ103,bhpc_data[],19,FALSE),"")</f>
        <v/>
      </c>
      <c r="CO103" s="653" t="str">
        <f>IFERROR(VLOOKUP(BZ103,bhpc_data[],6,FALSE),"")</f>
        <v/>
      </c>
      <c r="CP103" s="654" t="str">
        <f>IFERROR(VLOOKUP(BZ103,inventory[],4,FALSE),"")</f>
        <v/>
      </c>
      <c r="CQ103" s="651" t="str">
        <f>IFERROR(IF(BZ103="","",IF($BX$15="SALE",VLOOKUP(BZ103,inventory[],5,FALSE),IF($BX$15="SAMPLING",VLOOKUP(BZ103,inventory[],5,FALSE),""))),"")</f>
        <v/>
      </c>
      <c r="CR103" s="652" t="str">
        <f>IFERROR(IF(BZ103="","",(CB103+CD103+CF103)*CQ103),"")</f>
        <v/>
      </c>
      <c r="CS103" s="557" t="str">
        <f>IF(BZ103="","",CB103*CC103+CD103*CE103)</f>
        <v/>
      </c>
      <c r="DA103" s="540" t="str">
        <f>IFERROR(VLOOKUP(BZ103,bhpc_data[],22,FALSE),"")</f>
        <v/>
      </c>
      <c r="EE103" s="454" t="s">
        <v>965</v>
      </c>
      <c r="EF103" s="447" t="str">
        <f>VLOOKUP(EE103,bhpc_data[],7,FALSE)</f>
        <v>BHPC GIFT BOX MEN NO.9 50ML</v>
      </c>
      <c r="EG103" s="555">
        <f>IFERROR(VLOOKUP(EE103,inventory[],4,FALSE),0)</f>
        <v>0</v>
      </c>
      <c r="EH103" s="555">
        <f>IFERROR(VLOOKUP(warehouse[[#This Row],[SKU]],$EQ$10:$ES$38,3,FALSE),0)</f>
        <v>0</v>
      </c>
      <c r="EI103" s="555">
        <f>IFERROR(VLOOKUP(warehouse[[#This Row],[SKU]],$EM$10:$EO$61,3,FALSE),0)</f>
        <v>0</v>
      </c>
      <c r="EJ103" s="555">
        <f>warehouse[[#This Row],[T-1]]+warehouse[[#This Row],[SUPPLY]]-warehouse[[#This Row],[SALE + SAMPLING]]</f>
        <v>0</v>
      </c>
      <c r="EK103" s="449"/>
    </row>
    <row r="104" spans="63:141" ht="15" customHeight="1">
      <c r="BK104" s="146"/>
      <c r="BL104" s="147"/>
      <c r="BM104" s="148"/>
      <c r="BN104" s="147"/>
      <c r="BO104" s="148"/>
      <c r="BZ104" s="305"/>
      <c r="CA104" s="270" t="str">
        <f>IF(BZ104="","",VLOOKUP(BZ104,bhpc_data[],7,FALSE))</f>
        <v/>
      </c>
      <c r="CB104" s="296"/>
      <c r="CC104" s="642"/>
      <c r="CD104" s="306"/>
      <c r="CE104" s="646"/>
      <c r="CF104" s="307"/>
      <c r="CG104" s="301" t="str">
        <f>IFERROR(ROUNDUP(CB104/VLOOKUP(BZ104,bhpc_data[],9,FALSE),0)+ROUNDUP(CD104/VLOOKUP(BZ104,bhpc_data[],9,FALSE),0),"")</f>
        <v/>
      </c>
      <c r="CH104" s="302" t="str">
        <f>IFERROR(ROUNDUP(CD104/VLOOKUP(BZ104,bhpc_data[],9,FALSE),0),"")</f>
        <v/>
      </c>
      <c r="CI104" s="302" t="str">
        <f>IFERROR(ROUNDUP(CF104/VLOOKUP(BZ104,bhpc_data[],9,FALSE),0),"")</f>
        <v/>
      </c>
      <c r="CJ104" s="302" t="str">
        <f>IFERROR(((CB104+CD104+CF104)/VLOOKUP(BZ104,bhpc_data[],9,FALSE))*VLOOKUP(BZ104,bhpc_data[],17,FALSE),"")</f>
        <v/>
      </c>
      <c r="CK104" s="302" t="str">
        <f>IFERROR(((CB104+CD104+CF104)/VLOOKUP(BZ104,bhpc_data[],9,FALSE))*VLOOKUP(BZ104,bhpc_data[],18,FALSE),"")</f>
        <v/>
      </c>
      <c r="CL104" s="346" t="str">
        <f>IFERROR((CB104+CD104)/VLOOKUP(BZ104,bhpc_data[],9,FALSE)*VLOOKUP(BZ104,bhpc_data[],14,FALSE)*VLOOKUP(BZ104,bhpc_data[],15,FALSE)*VLOOKUP(BZ104,bhpc_data[],16,FALSE)/1000000000,"")</f>
        <v/>
      </c>
      <c r="CM104" s="409" t="str">
        <f>IFERROR(VLOOKUP(BZ104,bhpc_data[],2,FALSE),"")</f>
        <v/>
      </c>
      <c r="CN104" s="409" t="str">
        <f>IFERROR(VLOOKUP(BZ104,bhpc_data[],19,FALSE),"")</f>
        <v/>
      </c>
      <c r="CO104" s="653" t="str">
        <f>IFERROR(VLOOKUP(BZ104,bhpc_data[],6,FALSE),"")</f>
        <v/>
      </c>
      <c r="CP104" s="654" t="str">
        <f>IFERROR(VLOOKUP(BZ104,inventory[],4,FALSE),"")</f>
        <v/>
      </c>
      <c r="CQ104" s="651" t="str">
        <f>IFERROR(IF(BZ104="","",IF($BX$15="SALE",VLOOKUP(BZ104,inventory[],5,FALSE),IF($BX$15="SAMPLING",VLOOKUP(BZ104,inventory[],5,FALSE),""))),"")</f>
        <v/>
      </c>
      <c r="CR104" s="652" t="str">
        <f>IFERROR(IF(BZ104="","",(CB104+CD104+CF104)*CQ104),"")</f>
        <v/>
      </c>
      <c r="CS104" s="557" t="str">
        <f>IF(BZ104="","",CB104*CC104+CD104*CE104)</f>
        <v/>
      </c>
      <c r="DA104" s="540" t="str">
        <f>IFERROR(VLOOKUP(BZ104,bhpc_data[],22,FALSE),"")</f>
        <v/>
      </c>
      <c r="EE104" s="454" t="s">
        <v>967</v>
      </c>
      <c r="EF104" s="447" t="str">
        <f>VLOOKUP(EE104,bhpc_data[],7,FALSE)</f>
        <v>BHPC GIFT BOX MEN NO.8 50ML</v>
      </c>
      <c r="EG104" s="555">
        <f>IFERROR(VLOOKUP(EE104,inventory[],4,FALSE),0)</f>
        <v>0</v>
      </c>
      <c r="EH104" s="555">
        <f>IFERROR(VLOOKUP(warehouse[[#This Row],[SKU]],$EQ$10:$ES$38,3,FALSE),0)</f>
        <v>0</v>
      </c>
      <c r="EI104" s="555">
        <f>IFERROR(VLOOKUP(warehouse[[#This Row],[SKU]],$EM$10:$EO$61,3,FALSE),0)</f>
        <v>0</v>
      </c>
      <c r="EJ104" s="555">
        <f>warehouse[[#This Row],[T-1]]+warehouse[[#This Row],[SUPPLY]]-warehouse[[#This Row],[SALE + SAMPLING]]</f>
        <v>0</v>
      </c>
      <c r="EK104" s="449"/>
    </row>
    <row r="105" spans="63:141" ht="15" customHeight="1">
      <c r="BK105" s="146"/>
      <c r="BL105" s="147"/>
      <c r="BM105" s="148"/>
      <c r="BN105" s="147"/>
      <c r="BO105" s="148"/>
      <c r="BZ105" s="305"/>
      <c r="CA105" s="270" t="str">
        <f>IF(BZ105="","",VLOOKUP(BZ105,bhpc_data[],7,FALSE))</f>
        <v/>
      </c>
      <c r="CB105" s="296"/>
      <c r="CC105" s="642"/>
      <c r="CD105" s="306"/>
      <c r="CE105" s="646"/>
      <c r="CF105" s="307"/>
      <c r="CG105" s="301" t="str">
        <f>IFERROR(ROUNDUP(CB105/VLOOKUP(BZ105,bhpc_data[],9,FALSE),0)+ROUNDUP(CD105/VLOOKUP(BZ105,bhpc_data[],9,FALSE),0),"")</f>
        <v/>
      </c>
      <c r="CH105" s="302" t="str">
        <f>IFERROR(ROUNDUP(CD105/VLOOKUP(BZ105,bhpc_data[],9,FALSE),0),"")</f>
        <v/>
      </c>
      <c r="CI105" s="302" t="str">
        <f>IFERROR(ROUNDUP(CF105/VLOOKUP(BZ105,bhpc_data[],9,FALSE),0),"")</f>
        <v/>
      </c>
      <c r="CJ105" s="302" t="str">
        <f>IFERROR(((CB105+CD105+CF105)/VLOOKUP(BZ105,bhpc_data[],9,FALSE))*VLOOKUP(BZ105,bhpc_data[],17,FALSE),"")</f>
        <v/>
      </c>
      <c r="CK105" s="302" t="str">
        <f>IFERROR(((CB105+CD105+CF105)/VLOOKUP(BZ105,bhpc_data[],9,FALSE))*VLOOKUP(BZ105,bhpc_data[],18,FALSE),"")</f>
        <v/>
      </c>
      <c r="CL105" s="346" t="str">
        <f>IFERROR((CB105+CD105)/VLOOKUP(BZ105,bhpc_data[],9,FALSE)*VLOOKUP(BZ105,bhpc_data[],14,FALSE)*VLOOKUP(BZ105,bhpc_data[],15,FALSE)*VLOOKUP(BZ105,bhpc_data[],16,FALSE)/1000000000,"")</f>
        <v/>
      </c>
      <c r="CM105" s="409" t="str">
        <f>IFERROR(VLOOKUP(BZ105,bhpc_data[],2,FALSE),"")</f>
        <v/>
      </c>
      <c r="CN105" s="409" t="str">
        <f>IFERROR(VLOOKUP(BZ105,bhpc_data[],19,FALSE),"")</f>
        <v/>
      </c>
      <c r="CO105" s="653" t="str">
        <f>IFERROR(VLOOKUP(BZ105,bhpc_data[],6,FALSE),"")</f>
        <v/>
      </c>
      <c r="CP105" s="654" t="str">
        <f>IFERROR(VLOOKUP(BZ105,inventory[],4,FALSE),"")</f>
        <v/>
      </c>
      <c r="CQ105" s="651" t="str">
        <f>IFERROR(IF(BZ105="","",IF($BX$15="SALE",VLOOKUP(BZ105,inventory[],5,FALSE),IF($BX$15="SAMPLING",VLOOKUP(BZ105,inventory[],5,FALSE),""))),"")</f>
        <v/>
      </c>
      <c r="CR105" s="652" t="str">
        <f>IFERROR(IF(BZ105="","",(CB105+CD105+CF105)*CQ105),"")</f>
        <v/>
      </c>
      <c r="CS105" s="557" t="str">
        <f>IF(BZ105="","",CB105*CC105+CD105*CE105)</f>
        <v/>
      </c>
      <c r="DA105" s="540" t="str">
        <f>IFERROR(VLOOKUP(BZ105,bhpc_data[],22,FALSE),"")</f>
        <v/>
      </c>
      <c r="EE105" s="454" t="s">
        <v>969</v>
      </c>
      <c r="EF105" s="447" t="str">
        <f>VLOOKUP(EE105,bhpc_data[],7,FALSE)</f>
        <v>BHPC GIFT BOX MEN NO.2 50ML</v>
      </c>
      <c r="EG105" s="555">
        <f>IFERROR(VLOOKUP(EE105,inventory[],4,FALSE),0)</f>
        <v>0</v>
      </c>
      <c r="EH105" s="555">
        <f>IFERROR(VLOOKUP(warehouse[[#This Row],[SKU]],$EQ$10:$ES$38,3,FALSE),0)</f>
        <v>0</v>
      </c>
      <c r="EI105" s="555">
        <f>IFERROR(VLOOKUP(warehouse[[#This Row],[SKU]],$EM$10:$EO$61,3,FALSE),0)</f>
        <v>0</v>
      </c>
      <c r="EJ105" s="555">
        <f>warehouse[[#This Row],[T-1]]+warehouse[[#This Row],[SUPPLY]]-warehouse[[#This Row],[SALE + SAMPLING]]</f>
        <v>0</v>
      </c>
      <c r="EK105" s="449"/>
    </row>
    <row r="106" spans="63:141" ht="15" customHeight="1">
      <c r="BK106" s="146"/>
      <c r="BL106" s="147"/>
      <c r="BM106" s="148"/>
      <c r="BN106" s="147"/>
      <c r="BO106" s="148"/>
      <c r="BZ106" s="305"/>
      <c r="CA106" s="270" t="str">
        <f>IF(BZ106="","",VLOOKUP(BZ106,bhpc_data[],7,FALSE))</f>
        <v/>
      </c>
      <c r="CB106" s="296"/>
      <c r="CC106" s="642"/>
      <c r="CD106" s="306"/>
      <c r="CE106" s="646"/>
      <c r="CF106" s="307"/>
      <c r="CG106" s="301" t="str">
        <f>IFERROR(ROUNDUP(CB106/VLOOKUP(BZ106,bhpc_data[],9,FALSE),0)+ROUNDUP(CD106/VLOOKUP(BZ106,bhpc_data[],9,FALSE),0),"")</f>
        <v/>
      </c>
      <c r="CH106" s="302" t="str">
        <f>IFERROR(ROUNDUP(CD106/VLOOKUP(BZ106,bhpc_data[],9,FALSE),0),"")</f>
        <v/>
      </c>
      <c r="CI106" s="302" t="str">
        <f>IFERROR(ROUNDUP(CF106/VLOOKUP(BZ106,bhpc_data[],9,FALSE),0),"")</f>
        <v/>
      </c>
      <c r="CJ106" s="302" t="str">
        <f>IFERROR(((CB106+CD106+CF106)/VLOOKUP(BZ106,bhpc_data[],9,FALSE))*VLOOKUP(BZ106,bhpc_data[],17,FALSE),"")</f>
        <v/>
      </c>
      <c r="CK106" s="302" t="str">
        <f>IFERROR(((CB106+CD106+CF106)/VLOOKUP(BZ106,bhpc_data[],9,FALSE))*VLOOKUP(BZ106,bhpc_data[],18,FALSE),"")</f>
        <v/>
      </c>
      <c r="CL106" s="346" t="str">
        <f>IFERROR((CB106+CD106)/VLOOKUP(BZ106,bhpc_data[],9,FALSE)*VLOOKUP(BZ106,bhpc_data[],14,FALSE)*VLOOKUP(BZ106,bhpc_data[],15,FALSE)*VLOOKUP(BZ106,bhpc_data[],16,FALSE)/1000000000,"")</f>
        <v/>
      </c>
      <c r="CM106" s="409" t="str">
        <f>IFERROR(VLOOKUP(BZ106,bhpc_data[],2,FALSE),"")</f>
        <v/>
      </c>
      <c r="CN106" s="409" t="str">
        <f>IFERROR(VLOOKUP(BZ106,bhpc_data[],19,FALSE),"")</f>
        <v/>
      </c>
      <c r="CO106" s="653" t="str">
        <f>IFERROR(VLOOKUP(BZ106,bhpc_data[],6,FALSE),"")</f>
        <v/>
      </c>
      <c r="CP106" s="654" t="str">
        <f>IFERROR(VLOOKUP(BZ106,inventory[],4,FALSE),"")</f>
        <v/>
      </c>
      <c r="CQ106" s="651" t="str">
        <f>IFERROR(IF(BZ106="","",IF($BX$15="SALE",VLOOKUP(BZ106,inventory[],5,FALSE),IF($BX$15="SAMPLING",VLOOKUP(BZ106,inventory[],5,FALSE),""))),"")</f>
        <v/>
      </c>
      <c r="CR106" s="652" t="str">
        <f>IFERROR(IF(BZ106="","",(CB106+CD106+CF106)*CQ106),"")</f>
        <v/>
      </c>
      <c r="CS106" s="557" t="str">
        <f>IF(BZ106="","",CB106*CC106+CD106*CE106)</f>
        <v/>
      </c>
      <c r="DA106" s="540" t="str">
        <f>IFERROR(VLOOKUP(BZ106,bhpc_data[],22,FALSE),"")</f>
        <v/>
      </c>
      <c r="EE106" s="454" t="s">
        <v>971</v>
      </c>
      <c r="EF106" s="447" t="str">
        <f>VLOOKUP(EE106,bhpc_data[],7,FALSE)</f>
        <v>BHPC GIFT BOX WOMEN NO.1 50ML</v>
      </c>
      <c r="EG106" s="555">
        <f>IFERROR(VLOOKUP(EE106,inventory[],4,FALSE),0)</f>
        <v>0</v>
      </c>
      <c r="EH106" s="555">
        <f>IFERROR(VLOOKUP(warehouse[[#This Row],[SKU]],$EQ$10:$ES$38,3,FALSE),0)</f>
        <v>0</v>
      </c>
      <c r="EI106" s="555">
        <f>IFERROR(VLOOKUP(warehouse[[#This Row],[SKU]],$EM$10:$EO$61,3,FALSE),0)</f>
        <v>0</v>
      </c>
      <c r="EJ106" s="555">
        <f>warehouse[[#This Row],[T-1]]+warehouse[[#This Row],[SUPPLY]]-warehouse[[#This Row],[SALE + SAMPLING]]</f>
        <v>0</v>
      </c>
      <c r="EK106" s="449"/>
    </row>
    <row r="107" spans="63:141" ht="15" customHeight="1">
      <c r="BK107" s="146"/>
      <c r="BL107" s="147"/>
      <c r="BM107" s="148"/>
      <c r="BN107" s="147"/>
      <c r="BO107" s="148"/>
      <c r="BZ107" s="305"/>
      <c r="CA107" s="270" t="str">
        <f>IF(BZ107="","",VLOOKUP(BZ107,bhpc_data[],7,FALSE))</f>
        <v/>
      </c>
      <c r="CB107" s="296"/>
      <c r="CC107" s="642"/>
      <c r="CD107" s="308"/>
      <c r="CE107" s="647"/>
      <c r="CF107" s="307"/>
      <c r="CG107" s="301" t="str">
        <f>IFERROR(ROUNDUP(CB107/VLOOKUP(BZ107,bhpc_data[],9,FALSE),0)+ROUNDUP(CD107/VLOOKUP(BZ107,bhpc_data[],9,FALSE),0),"")</f>
        <v/>
      </c>
      <c r="CH107" s="302" t="str">
        <f>IFERROR(ROUNDUP(CD107/VLOOKUP(BZ107,bhpc_data[],9,FALSE),0),"")</f>
        <v/>
      </c>
      <c r="CI107" s="302" t="str">
        <f>IFERROR(ROUNDUP(CF107/VLOOKUP(BZ107,bhpc_data[],9,FALSE),0),"")</f>
        <v/>
      </c>
      <c r="CJ107" s="302" t="str">
        <f>IFERROR(((CB107+CD107+CF107)/VLOOKUP(BZ107,bhpc_data[],9,FALSE))*VLOOKUP(BZ107,bhpc_data[],17,FALSE),"")</f>
        <v/>
      </c>
      <c r="CK107" s="302" t="str">
        <f>IFERROR(((CB107+CD107+CF107)/VLOOKUP(BZ107,bhpc_data[],9,FALSE))*VLOOKUP(BZ107,bhpc_data[],18,FALSE),"")</f>
        <v/>
      </c>
      <c r="CL107" s="346" t="str">
        <f>IFERROR((CB107+CD107)/VLOOKUP(BZ107,bhpc_data[],9,FALSE)*VLOOKUP(BZ107,bhpc_data[],14,FALSE)*VLOOKUP(BZ107,bhpc_data[],15,FALSE)*VLOOKUP(BZ107,bhpc_data[],16,FALSE)/1000000000,"")</f>
        <v/>
      </c>
      <c r="CM107" s="409" t="str">
        <f>IFERROR(VLOOKUP(BZ107,bhpc_data[],2,FALSE),"")</f>
        <v/>
      </c>
      <c r="CN107" s="409" t="str">
        <f>IFERROR(VLOOKUP(BZ107,bhpc_data[],19,FALSE),"")</f>
        <v/>
      </c>
      <c r="CO107" s="653" t="str">
        <f>IFERROR(VLOOKUP(BZ107,bhpc_data[],6,FALSE),"")</f>
        <v/>
      </c>
      <c r="CP107" s="654" t="str">
        <f>IFERROR(VLOOKUP(BZ107,inventory[],4,FALSE),"")</f>
        <v/>
      </c>
      <c r="CQ107" s="651" t="str">
        <f>IFERROR(IF(BZ107="","",IF($BX$15="SALE",VLOOKUP(BZ107,inventory[],5,FALSE),IF($BX$15="SAMPLING",VLOOKUP(BZ107,inventory[],5,FALSE),""))),"")</f>
        <v/>
      </c>
      <c r="CR107" s="658" t="str">
        <f>IFERROR(IF(BZ107="","",(CB107+CD107+CF107)*CQ107),"")</f>
        <v/>
      </c>
      <c r="CS107" s="557" t="str">
        <f>IF(BZ107="","",CB107*CC107+CD107*CE107)</f>
        <v/>
      </c>
      <c r="DA107" s="540" t="str">
        <f>IFERROR(VLOOKUP(BZ107,bhpc_data[],22,FALSE),"")</f>
        <v/>
      </c>
      <c r="EE107" s="454" t="s">
        <v>973</v>
      </c>
      <c r="EF107" s="447" t="str">
        <f>VLOOKUP(EE107,bhpc_data[],7,FALSE)</f>
        <v>BHPC GIFT BOX WOMEN NO.9 50ML</v>
      </c>
      <c r="EG107" s="555">
        <f>IFERROR(VLOOKUP(EE107,inventory[],4,FALSE),0)</f>
        <v>0</v>
      </c>
      <c r="EH107" s="555">
        <f>IFERROR(VLOOKUP(warehouse[[#This Row],[SKU]],$EQ$10:$ES$38,3,FALSE),0)</f>
        <v>0</v>
      </c>
      <c r="EI107" s="555">
        <f>IFERROR(VLOOKUP(warehouse[[#This Row],[SKU]],$EM$10:$EO$61,3,FALSE),0)</f>
        <v>0</v>
      </c>
      <c r="EJ107" s="555">
        <f>warehouse[[#This Row],[T-1]]+warehouse[[#This Row],[SUPPLY]]-warehouse[[#This Row],[SALE + SAMPLING]]</f>
        <v>0</v>
      </c>
      <c r="EK107" s="449"/>
    </row>
    <row r="108" spans="63:141" ht="15" customHeight="1">
      <c r="BK108" s="146"/>
      <c r="BL108" s="147"/>
      <c r="BM108" s="148"/>
      <c r="BN108" s="147"/>
      <c r="BO108" s="148"/>
      <c r="BZ108" s="305"/>
      <c r="CA108" s="270" t="str">
        <f>IF(BZ108="","",VLOOKUP(BZ108,bhpc_data[],7,FALSE))</f>
        <v/>
      </c>
      <c r="CB108" s="296"/>
      <c r="CC108" s="642"/>
      <c r="CD108" s="308"/>
      <c r="CE108" s="647"/>
      <c r="CF108" s="307"/>
      <c r="CG108" s="301" t="str">
        <f>IFERROR(ROUNDUP(CB108/VLOOKUP(BZ108,bhpc_data[],9,FALSE),0)+ROUNDUP(CD108/VLOOKUP(BZ108,bhpc_data[],9,FALSE),0),"")</f>
        <v/>
      </c>
      <c r="CH108" s="302" t="str">
        <f>IFERROR(ROUNDUP(CD108/VLOOKUP(BZ108,bhpc_data[],9,FALSE),0),"")</f>
        <v/>
      </c>
      <c r="CI108" s="302" t="str">
        <f>IFERROR(ROUNDUP(CF108/VLOOKUP(BZ108,bhpc_data[],9,FALSE),0),"")</f>
        <v/>
      </c>
      <c r="CJ108" s="302" t="str">
        <f>IFERROR(((CB108+CD108+CF108)/VLOOKUP(BZ108,bhpc_data[],9,FALSE))*VLOOKUP(BZ108,bhpc_data[],17,FALSE),"")</f>
        <v/>
      </c>
      <c r="CK108" s="302" t="str">
        <f>IFERROR(((CB108+CD108+CF108)/VLOOKUP(BZ108,bhpc_data[],9,FALSE))*VLOOKUP(BZ108,bhpc_data[],18,FALSE),"")</f>
        <v/>
      </c>
      <c r="CL108" s="346" t="str">
        <f>IFERROR((CB108+CD108)/VLOOKUP(BZ108,bhpc_data[],9,FALSE)*VLOOKUP(BZ108,bhpc_data[],14,FALSE)*VLOOKUP(BZ108,bhpc_data[],15,FALSE)*VLOOKUP(BZ108,bhpc_data[],16,FALSE)/1000000000,"")</f>
        <v/>
      </c>
      <c r="CM108" s="409" t="str">
        <f>IFERROR(VLOOKUP(BZ108,bhpc_data[],2,FALSE),"")</f>
        <v/>
      </c>
      <c r="CN108" s="409" t="str">
        <f>IFERROR(VLOOKUP(BZ108,bhpc_data[],19,FALSE),"")</f>
        <v/>
      </c>
      <c r="CO108" s="653" t="str">
        <f>IFERROR(VLOOKUP(BZ108,bhpc_data[],6,FALSE),"")</f>
        <v/>
      </c>
      <c r="CP108" s="654" t="str">
        <f>IFERROR(VLOOKUP(BZ108,inventory[],4,FALSE),"")</f>
        <v/>
      </c>
      <c r="CQ108" s="651" t="str">
        <f>IFERROR(IF(BZ108="","",IF($BX$15="SALE",VLOOKUP(BZ108,inventory[],5,FALSE),IF($BX$15="SAMPLING",VLOOKUP(BZ108,inventory[],5,FALSE),""))),"")</f>
        <v/>
      </c>
      <c r="CR108" s="658" t="str">
        <f>IFERROR(IF(BZ108="","",(CB108+CD108+CF108)*CQ108),"")</f>
        <v/>
      </c>
      <c r="CS108" s="557" t="str">
        <f>IF(BZ108="","",CB108*CC108+CD108*CE108)</f>
        <v/>
      </c>
      <c r="DA108" s="540" t="str">
        <f>IFERROR(VLOOKUP(BZ108,bhpc_data[],22,FALSE),"")</f>
        <v/>
      </c>
      <c r="EE108" s="454" t="s">
        <v>975</v>
      </c>
      <c r="EF108" s="447" t="str">
        <f>VLOOKUP(EE108,bhpc_data[],7,FALSE)</f>
        <v>BHPC GIFT BOX WOMEN NO.8 50ML</v>
      </c>
      <c r="EG108" s="555">
        <f>IFERROR(VLOOKUP(EE108,inventory[],4,FALSE),0)</f>
        <v>0</v>
      </c>
      <c r="EH108" s="555">
        <f>IFERROR(VLOOKUP(warehouse[[#This Row],[SKU]],$EQ$10:$ES$38,3,FALSE),0)</f>
        <v>0</v>
      </c>
      <c r="EI108" s="555">
        <f>IFERROR(VLOOKUP(warehouse[[#This Row],[SKU]],$EM$10:$EO$61,3,FALSE),0)</f>
        <v>0</v>
      </c>
      <c r="EJ108" s="555">
        <f>warehouse[[#This Row],[T-1]]+warehouse[[#This Row],[SUPPLY]]-warehouse[[#This Row],[SALE + SAMPLING]]</f>
        <v>0</v>
      </c>
      <c r="EK108" s="449"/>
    </row>
    <row r="109" spans="63:141" ht="15" customHeight="1">
      <c r="BK109" s="146"/>
      <c r="BL109" s="147"/>
      <c r="BM109" s="148"/>
      <c r="BN109" s="147"/>
      <c r="BO109" s="148"/>
      <c r="BZ109" s="305"/>
      <c r="CA109" s="270" t="str">
        <f>IF(BZ109="","",VLOOKUP(BZ109,bhpc_data[],7,FALSE))</f>
        <v/>
      </c>
      <c r="CB109" s="296"/>
      <c r="CC109" s="642"/>
      <c r="CD109" s="308"/>
      <c r="CE109" s="647"/>
      <c r="CF109" s="307"/>
      <c r="CG109" s="301" t="str">
        <f>IFERROR(ROUNDUP(CB109/VLOOKUP(BZ109,bhpc_data[],9,FALSE),0)+ROUNDUP(CD109/VLOOKUP(BZ109,bhpc_data[],9,FALSE),0),"")</f>
        <v/>
      </c>
      <c r="CH109" s="302" t="str">
        <f>IFERROR(ROUNDUP(CD109/VLOOKUP(BZ109,bhpc_data[],9,FALSE),0),"")</f>
        <v/>
      </c>
      <c r="CI109" s="302" t="str">
        <f>IFERROR(ROUNDUP(CF109/VLOOKUP(BZ109,bhpc_data[],9,FALSE),0),"")</f>
        <v/>
      </c>
      <c r="CJ109" s="302" t="str">
        <f>IFERROR(((CB109+CD109+CF109)/VLOOKUP(BZ109,bhpc_data[],9,FALSE))*VLOOKUP(BZ109,bhpc_data[],17,FALSE),"")</f>
        <v/>
      </c>
      <c r="CK109" s="302" t="str">
        <f>IFERROR(((CB109+CD109+CF109)/VLOOKUP(BZ109,bhpc_data[],9,FALSE))*VLOOKUP(BZ109,bhpc_data[],18,FALSE),"")</f>
        <v/>
      </c>
      <c r="CL109" s="346" t="str">
        <f>IFERROR((CB109+CD109)/VLOOKUP(BZ109,bhpc_data[],9,FALSE)*VLOOKUP(BZ109,bhpc_data[],14,FALSE)*VLOOKUP(BZ109,bhpc_data[],15,FALSE)*VLOOKUP(BZ109,bhpc_data[],16,FALSE)/1000000000,"")</f>
        <v/>
      </c>
      <c r="CM109" s="409" t="str">
        <f>IFERROR(VLOOKUP(BZ109,bhpc_data[],2,FALSE),"")</f>
        <v/>
      </c>
      <c r="CN109" s="409" t="str">
        <f>IFERROR(VLOOKUP(BZ109,bhpc_data[],19,FALSE),"")</f>
        <v/>
      </c>
      <c r="CO109" s="653" t="str">
        <f>IFERROR(VLOOKUP(BZ109,bhpc_data[],6,FALSE),"")</f>
        <v/>
      </c>
      <c r="CP109" s="654" t="str">
        <f>IFERROR(VLOOKUP(BZ109,inventory[],4,FALSE),"")</f>
        <v/>
      </c>
      <c r="CQ109" s="651" t="str">
        <f>IFERROR(IF(BZ109="","",IF($BX$15="SALE",VLOOKUP(BZ109,inventory[],5,FALSE),IF($BX$15="SAMPLING",VLOOKUP(BZ109,inventory[],5,FALSE),""))),"")</f>
        <v/>
      </c>
      <c r="CR109" s="658" t="str">
        <f>IFERROR(IF(BZ109="","",(CB109+CD109+CF109)*CQ109),"")</f>
        <v/>
      </c>
      <c r="CS109" s="557" t="str">
        <f>IF(BZ109="","",CB109*CC109+CD109*CE109)</f>
        <v/>
      </c>
      <c r="DA109" s="540" t="str">
        <f>IFERROR(VLOOKUP(BZ109,bhpc_data[],22,FALSE),"")</f>
        <v/>
      </c>
      <c r="EE109" s="454" t="s">
        <v>977</v>
      </c>
      <c r="EF109" s="447" t="str">
        <f>VLOOKUP(EE109,bhpc_data[],7,FALSE)</f>
        <v>BHPC GIFT BOX WOMEN NO.2 50ML</v>
      </c>
      <c r="EG109" s="555">
        <f>IFERROR(VLOOKUP(EE109,inventory[],4,FALSE),0)</f>
        <v>0</v>
      </c>
      <c r="EH109" s="555">
        <f>IFERROR(VLOOKUP(warehouse[[#This Row],[SKU]],$EQ$10:$ES$38,3,FALSE),0)</f>
        <v>0</v>
      </c>
      <c r="EI109" s="555">
        <f>IFERROR(VLOOKUP(warehouse[[#This Row],[SKU]],$EM$10:$EO$61,3,FALSE),0)</f>
        <v>0</v>
      </c>
      <c r="EJ109" s="555">
        <f>warehouse[[#This Row],[T-1]]+warehouse[[#This Row],[SUPPLY]]-warehouse[[#This Row],[SALE + SAMPLING]]</f>
        <v>0</v>
      </c>
      <c r="EK109" s="449"/>
    </row>
    <row r="110" spans="63:141" ht="15" customHeight="1" thickBot="1">
      <c r="BK110" s="146"/>
      <c r="BL110" s="147"/>
      <c r="BM110" s="148"/>
      <c r="BN110" s="147"/>
      <c r="BO110" s="148"/>
      <c r="BZ110" s="309"/>
      <c r="CA110" s="271" t="str">
        <f>IF(BZ110="","",VLOOKUP(BZ110,bhpc_data[],7,FALSE))</f>
        <v/>
      </c>
      <c r="CB110" s="310"/>
      <c r="CC110" s="644"/>
      <c r="CD110" s="311"/>
      <c r="CE110" s="648"/>
      <c r="CF110" s="312"/>
      <c r="CG110" s="313" t="str">
        <f>IFERROR(ROUNDUP(CB110/VLOOKUP(BZ110,bhpc_data[],9,FALSE),0)+ROUNDUP(CD110/VLOOKUP(BZ110,bhpc_data[],9,FALSE),0),"")</f>
        <v/>
      </c>
      <c r="CH110" s="314" t="str">
        <f>IFERROR(ROUNDUP(CD110/VLOOKUP(BZ110,bhpc_data[],9,FALSE),0),"")</f>
        <v/>
      </c>
      <c r="CI110" s="314" t="str">
        <f>IFERROR(ROUNDUP(CF110/VLOOKUP(BZ110,bhpc_data[],9,FALSE),0),"")</f>
        <v/>
      </c>
      <c r="CJ110" s="315" t="str">
        <f>IFERROR(((CB110+CD110+CF110)/VLOOKUP(BZ110,bhpc_data[],9,FALSE))*VLOOKUP(BZ110,bhpc_data[],17,FALSE),"")</f>
        <v/>
      </c>
      <c r="CK110" s="315" t="str">
        <f>IFERROR(((CB110+CD110+CF110)/VLOOKUP(BZ110,bhpc_data[],9,FALSE))*VLOOKUP(BZ110,bhpc_data[],18,FALSE),"")</f>
        <v/>
      </c>
      <c r="CL110" s="347" t="str">
        <f>IFERROR((CB110+CD110)/VLOOKUP(BZ110,bhpc_data[],9,FALSE)*VLOOKUP(BZ110,bhpc_data[],14,FALSE)*VLOOKUP(BZ110,bhpc_data[],15,FALSE)*VLOOKUP(BZ110,bhpc_data[],16,FALSE)/1000000000,"")</f>
        <v/>
      </c>
      <c r="CM110" s="410" t="str">
        <f>IFERROR(VLOOKUP(BZ110,bhpc_data[],2,FALSE),"")</f>
        <v/>
      </c>
      <c r="CN110" s="410" t="str">
        <f>IFERROR(VLOOKUP(BZ110,bhpc_data[],19,FALSE),"")</f>
        <v/>
      </c>
      <c r="CO110" s="659" t="str">
        <f>IFERROR(VLOOKUP(BZ110,bhpc_data[],6,FALSE),"")</f>
        <v/>
      </c>
      <c r="CP110" s="660" t="str">
        <f>IFERROR(VLOOKUP(BZ110,inventory[],4,FALSE),"")</f>
        <v/>
      </c>
      <c r="CQ110" s="661" t="str">
        <f>IFERROR(IF(BZ110="","",IF($BX$15="SALE",VLOOKUP(BZ110,inventory[],5,FALSE),IF($BX$15="SAMPLING",VLOOKUP(BZ110,inventory[],5,FALSE),""))),"")</f>
        <v/>
      </c>
      <c r="CR110" s="662" t="str">
        <f>IFERROR(IF(BZ110="","",(CB110+CD110+CF110)*CQ110),"")</f>
        <v/>
      </c>
      <c r="CS110" s="558" t="str">
        <f>IF(BZ110="","",CB110*CC110+CD110*CE110)</f>
        <v/>
      </c>
      <c r="DA110" s="540" t="str">
        <f>IFERROR(VLOOKUP(BZ110,bhpc_data[],22,FALSE),"")</f>
        <v/>
      </c>
      <c r="EE110" s="454" t="s">
        <v>955</v>
      </c>
      <c r="EF110" s="447" t="str">
        <f>VLOOKUP(EE110,bhpc_data[],7,FALSE)</f>
        <v>BHPC GIFT BOX WOMEN NO.1 100ML</v>
      </c>
      <c r="EG110" s="555">
        <f>IFERROR(VLOOKUP(EE110,inventory[],4,FALSE),0)</f>
        <v>0</v>
      </c>
      <c r="EH110" s="555">
        <f>IFERROR(VLOOKUP(warehouse[[#This Row],[SKU]],$EQ$10:$ES$38,3,FALSE),0)</f>
        <v>0</v>
      </c>
      <c r="EI110" s="555">
        <f>IFERROR(VLOOKUP(warehouse[[#This Row],[SKU]],$EM$10:$EO$61,3,FALSE),0)</f>
        <v>0</v>
      </c>
      <c r="EJ110" s="555">
        <f>warehouse[[#This Row],[T-1]]+warehouse[[#This Row],[SUPPLY]]-warehouse[[#This Row],[SALE + SAMPLING]]</f>
        <v>0</v>
      </c>
      <c r="EK110" s="449"/>
    </row>
    <row r="111" spans="63:141">
      <c r="BK111" s="146"/>
      <c r="BL111" s="147"/>
      <c r="BM111" s="148"/>
      <c r="BN111" s="147"/>
      <c r="BO111" s="148"/>
      <c r="EE111" s="454" t="s">
        <v>956</v>
      </c>
      <c r="EF111" s="447" t="str">
        <f>VLOOKUP(EE111,bhpc_data[],7,FALSE)</f>
        <v>BHPC GIFT BOX WOMEN NO.9 100ML</v>
      </c>
      <c r="EG111" s="555">
        <f>IFERROR(VLOOKUP(EE111,inventory[],4,FALSE),0)</f>
        <v>0</v>
      </c>
      <c r="EH111" s="555">
        <f>IFERROR(VLOOKUP(warehouse[[#This Row],[SKU]],$EQ$10:$ES$38,3,FALSE),0)</f>
        <v>0</v>
      </c>
      <c r="EI111" s="555">
        <f>IFERROR(VLOOKUP(warehouse[[#This Row],[SKU]],$EM$10:$EO$61,3,FALSE),0)</f>
        <v>0</v>
      </c>
      <c r="EJ111" s="555">
        <f>warehouse[[#This Row],[T-1]]+warehouse[[#This Row],[SUPPLY]]-warehouse[[#This Row],[SALE + SAMPLING]]</f>
        <v>0</v>
      </c>
      <c r="EK111" s="449"/>
    </row>
    <row r="112" spans="63:141">
      <c r="BK112" s="146"/>
      <c r="BL112" s="147"/>
      <c r="BM112" s="148"/>
      <c r="BN112" s="147"/>
      <c r="BO112" s="148"/>
      <c r="EE112" s="454" t="s">
        <v>957</v>
      </c>
      <c r="EF112" s="447" t="str">
        <f>VLOOKUP(EE112,bhpc_data[],7,FALSE)</f>
        <v>BHPC GIFT BOX WOMEN NO.8 100ML</v>
      </c>
      <c r="EG112" s="555">
        <f>IFERROR(VLOOKUP(EE112,inventory[],4,FALSE),0)</f>
        <v>0</v>
      </c>
      <c r="EH112" s="555">
        <f>IFERROR(VLOOKUP(warehouse[[#This Row],[SKU]],$EQ$10:$ES$38,3,FALSE),0)</f>
        <v>0</v>
      </c>
      <c r="EI112" s="555">
        <f>IFERROR(VLOOKUP(warehouse[[#This Row],[SKU]],$EM$10:$EO$61,3,FALSE),0)</f>
        <v>0</v>
      </c>
      <c r="EJ112" s="555">
        <f>warehouse[[#This Row],[T-1]]+warehouse[[#This Row],[SUPPLY]]-warehouse[[#This Row],[SALE + SAMPLING]]</f>
        <v>0</v>
      </c>
      <c r="EK112" s="449"/>
    </row>
    <row r="113" spans="63:141">
      <c r="BK113" s="146"/>
      <c r="BL113" s="147"/>
      <c r="BM113" s="148"/>
      <c r="BN113" s="147"/>
      <c r="BO113" s="148"/>
      <c r="EE113" s="454" t="s">
        <v>958</v>
      </c>
      <c r="EF113" s="447" t="str">
        <f>VLOOKUP(EE113,bhpc_data[],7,FALSE)</f>
        <v>BHPC GIFT BOX WOMEN NO.2 100ML</v>
      </c>
      <c r="EG113" s="555">
        <f>IFERROR(VLOOKUP(EE113,inventory[],4,FALSE),0)</f>
        <v>0</v>
      </c>
      <c r="EH113" s="555">
        <f>IFERROR(VLOOKUP(warehouse[[#This Row],[SKU]],$EQ$10:$ES$38,3,FALSE),0)</f>
        <v>0</v>
      </c>
      <c r="EI113" s="555">
        <f>IFERROR(VLOOKUP(warehouse[[#This Row],[SKU]],$EM$10:$EO$61,3,FALSE),0)</f>
        <v>0</v>
      </c>
      <c r="EJ113" s="555">
        <f>warehouse[[#This Row],[T-1]]+warehouse[[#This Row],[SUPPLY]]-warehouse[[#This Row],[SALE + SAMPLING]]</f>
        <v>0</v>
      </c>
      <c r="EK113" s="449"/>
    </row>
    <row r="114" spans="63:141">
      <c r="BK114" s="146"/>
      <c r="BL114" s="147"/>
      <c r="BM114" s="148"/>
      <c r="BN114" s="147"/>
      <c r="BO114" s="148"/>
      <c r="EE114" s="454" t="s">
        <v>983</v>
      </c>
      <c r="EF114" s="447" t="str">
        <f>VLOOKUP(EE114,bhpc_data[],7,FALSE)</f>
        <v>BHPC GS BOX MEN</v>
      </c>
      <c r="EG114" s="555">
        <f>IFERROR(VLOOKUP(EE114,inventory[],4,FALSE),0)</f>
        <v>0</v>
      </c>
      <c r="EH114" s="555">
        <f>IFERROR(VLOOKUP(warehouse[[#This Row],[SKU]],$EQ$10:$ES$38,3,FALSE),0)</f>
        <v>0</v>
      </c>
      <c r="EI114" s="555">
        <f>IFERROR(VLOOKUP(warehouse[[#This Row],[SKU]],$EM$10:$EO$61,3,FALSE),0)</f>
        <v>0</v>
      </c>
      <c r="EJ114" s="555">
        <f>warehouse[[#This Row],[T-1]]+warehouse[[#This Row],[SUPPLY]]-warehouse[[#This Row],[SALE + SAMPLING]]</f>
        <v>0</v>
      </c>
      <c r="EK114" s="449"/>
    </row>
    <row r="115" spans="63:141">
      <c r="BK115" s="146"/>
      <c r="BL115" s="147"/>
      <c r="BM115" s="148"/>
      <c r="BN115" s="147"/>
      <c r="BO115" s="148"/>
      <c r="EE115" s="454" t="s">
        <v>985</v>
      </c>
      <c r="EF115" s="447" t="str">
        <f>VLOOKUP(EE115,bhpc_data[],7,FALSE)</f>
        <v>BHPC GS BOX WOMEN</v>
      </c>
      <c r="EG115" s="555">
        <f>IFERROR(VLOOKUP(EE115,inventory[],4,FALSE),0)</f>
        <v>0</v>
      </c>
      <c r="EH115" s="555">
        <f>IFERROR(VLOOKUP(warehouse[[#This Row],[SKU]],$EQ$10:$ES$38,3,FALSE),0)</f>
        <v>0</v>
      </c>
      <c r="EI115" s="555">
        <f>IFERROR(VLOOKUP(warehouse[[#This Row],[SKU]],$EM$10:$EO$61,3,FALSE),0)</f>
        <v>0</v>
      </c>
      <c r="EJ115" s="555">
        <f>warehouse[[#This Row],[T-1]]+warehouse[[#This Row],[SUPPLY]]-warehouse[[#This Row],[SALE + SAMPLING]]</f>
        <v>0</v>
      </c>
      <c r="EK115" s="449"/>
    </row>
    <row r="116" spans="63:141">
      <c r="BK116" s="146"/>
      <c r="BL116" s="147"/>
      <c r="BM116" s="148"/>
      <c r="BN116" s="147"/>
      <c r="BO116" s="148"/>
      <c r="EE116" s="454" t="s">
        <v>987</v>
      </c>
      <c r="EF116" s="447" t="str">
        <f>VLOOKUP(EE116,bhpc_data[],7,FALSE)</f>
        <v>BHPC BOX TROPHY+DEO300ML</v>
      </c>
      <c r="EG116" s="555">
        <f>IFERROR(VLOOKUP(EE116,inventory[],4,FALSE),0)</f>
        <v>0</v>
      </c>
      <c r="EH116" s="555">
        <f>IFERROR(VLOOKUP(warehouse[[#This Row],[SKU]],$EQ$10:$ES$38,3,FALSE),0)</f>
        <v>0</v>
      </c>
      <c r="EI116" s="555">
        <f>IFERROR(VLOOKUP(warehouse[[#This Row],[SKU]],$EM$10:$EO$61,3,FALSE),0)</f>
        <v>0</v>
      </c>
      <c r="EJ116" s="555">
        <f>warehouse[[#This Row],[T-1]]+warehouse[[#This Row],[SUPPLY]]-warehouse[[#This Row],[SALE + SAMPLING]]</f>
        <v>0</v>
      </c>
      <c r="EK116" s="449"/>
    </row>
    <row r="117" spans="63:141">
      <c r="BK117" s="146"/>
      <c r="BL117" s="147"/>
      <c r="BM117" s="148"/>
      <c r="BN117" s="147"/>
      <c r="BO117" s="148"/>
      <c r="EE117" s="454" t="s">
        <v>533</v>
      </c>
      <c r="EF117" s="447" t="str">
        <f>VLOOKUP(EE117,bhpc_data[],7,FALSE)</f>
        <v>BHPC BOX SERIES 4 DEO MEN</v>
      </c>
      <c r="EG117" s="555">
        <f>IFERROR(VLOOKUP(EE117,inventory[],4,FALSE),0)</f>
        <v>0</v>
      </c>
      <c r="EH117" s="555">
        <f>IFERROR(VLOOKUP(warehouse[[#This Row],[SKU]],$EQ$10:$ES$38,3,FALSE),0)</f>
        <v>0</v>
      </c>
      <c r="EI117" s="555">
        <f>IFERROR(VLOOKUP(warehouse[[#This Row],[SKU]],$EM$10:$EO$61,3,FALSE),0)</f>
        <v>0</v>
      </c>
      <c r="EJ117" s="555">
        <f>warehouse[[#This Row],[T-1]]+warehouse[[#This Row],[SUPPLY]]-warehouse[[#This Row],[SALE + SAMPLING]]</f>
        <v>0</v>
      </c>
      <c r="EK117" s="449"/>
    </row>
    <row r="118" spans="63:141">
      <c r="BK118" s="146"/>
      <c r="BL118" s="147"/>
      <c r="BM118" s="148"/>
      <c r="BN118" s="147"/>
      <c r="BO118" s="148"/>
      <c r="EE118" s="454" t="s">
        <v>535</v>
      </c>
      <c r="EF118" s="447" t="str">
        <f>VLOOKUP(EE118,bhpc_data[],7,FALSE)</f>
        <v>BHPC BOX SERIES 4 DEO WOMEN</v>
      </c>
      <c r="EG118" s="555">
        <f>IFERROR(VLOOKUP(EE118,inventory[],4,FALSE),0)</f>
        <v>0</v>
      </c>
      <c r="EH118" s="555">
        <f>IFERROR(VLOOKUP(warehouse[[#This Row],[SKU]],$EQ$10:$ES$38,3,FALSE),0)</f>
        <v>0</v>
      </c>
      <c r="EI118" s="555">
        <f>IFERROR(VLOOKUP(warehouse[[#This Row],[SKU]],$EM$10:$EO$61,3,FALSE),0)</f>
        <v>0</v>
      </c>
      <c r="EJ118" s="555">
        <f>warehouse[[#This Row],[T-1]]+warehouse[[#This Row],[SUPPLY]]-warehouse[[#This Row],[SALE + SAMPLING]]</f>
        <v>0</v>
      </c>
      <c r="EK118" s="449"/>
    </row>
    <row r="119" spans="63:141">
      <c r="BK119" s="146"/>
      <c r="BL119" s="147"/>
      <c r="BM119" s="148"/>
      <c r="BN119" s="147"/>
      <c r="BO119" s="148"/>
      <c r="EE119" s="454" t="s">
        <v>989</v>
      </c>
      <c r="EF119" s="447" t="str">
        <f>VLOOKUP(EE119,bhpc_data[],7,FALSE)</f>
        <v>BHPC TRAY GIFT BOX MEN 50ML</v>
      </c>
      <c r="EG119" s="555">
        <f>IFERROR(VLOOKUP(EE119,inventory[],4,FALSE),0)</f>
        <v>0</v>
      </c>
      <c r="EH119" s="555">
        <f>IFERROR(VLOOKUP(warehouse[[#This Row],[SKU]],$EQ$10:$ES$38,3,FALSE),0)</f>
        <v>0</v>
      </c>
      <c r="EI119" s="555">
        <f>IFERROR(VLOOKUP(warehouse[[#This Row],[SKU]],$EM$10:$EO$61,3,FALSE),0)</f>
        <v>0</v>
      </c>
      <c r="EJ119" s="555">
        <f>warehouse[[#This Row],[T-1]]+warehouse[[#This Row],[SUPPLY]]-warehouse[[#This Row],[SALE + SAMPLING]]</f>
        <v>0</v>
      </c>
      <c r="EK119" s="449"/>
    </row>
    <row r="120" spans="63:141">
      <c r="BK120" s="146"/>
      <c r="BL120" s="147"/>
      <c r="BM120" s="148"/>
      <c r="BN120" s="147"/>
      <c r="BO120" s="148"/>
      <c r="EE120" s="454" t="s">
        <v>991</v>
      </c>
      <c r="EF120" s="447" t="str">
        <f>VLOOKUP(EE120,bhpc_data[],7,FALSE)</f>
        <v>BHPC TRAY GIFT BOX WOMEN 50ML</v>
      </c>
      <c r="EG120" s="555">
        <f>IFERROR(VLOOKUP(EE120,inventory[],4,FALSE),0)</f>
        <v>0</v>
      </c>
      <c r="EH120" s="555">
        <f>IFERROR(VLOOKUP(warehouse[[#This Row],[SKU]],$EQ$10:$ES$38,3,FALSE),0)</f>
        <v>0</v>
      </c>
      <c r="EI120" s="555">
        <f>IFERROR(VLOOKUP(warehouse[[#This Row],[SKU]],$EM$10:$EO$61,3,FALSE),0)</f>
        <v>0</v>
      </c>
      <c r="EJ120" s="555">
        <f>warehouse[[#This Row],[T-1]]+warehouse[[#This Row],[SUPPLY]]-warehouse[[#This Row],[SALE + SAMPLING]]</f>
        <v>0</v>
      </c>
      <c r="EK120" s="449"/>
    </row>
    <row r="121" spans="63:141">
      <c r="BK121" s="146"/>
      <c r="BL121" s="147"/>
      <c r="BM121" s="148"/>
      <c r="BN121" s="147"/>
      <c r="BO121" s="148"/>
      <c r="EE121" s="454" t="s">
        <v>993</v>
      </c>
      <c r="EF121" s="447" t="str">
        <f>VLOOKUP(EE121,bhpc_data[],7,FALSE)</f>
        <v>BHPC TRAY GIFT BOX MEN 100ML</v>
      </c>
      <c r="EG121" s="555">
        <f>IFERROR(VLOOKUP(EE121,inventory[],4,FALSE),0)</f>
        <v>0</v>
      </c>
      <c r="EH121" s="555">
        <f>IFERROR(VLOOKUP(warehouse[[#This Row],[SKU]],$EQ$10:$ES$38,3,FALSE),0)</f>
        <v>0</v>
      </c>
      <c r="EI121" s="555">
        <f>IFERROR(VLOOKUP(warehouse[[#This Row],[SKU]],$EM$10:$EO$61,3,FALSE),0)</f>
        <v>0</v>
      </c>
      <c r="EJ121" s="555">
        <f>warehouse[[#This Row],[T-1]]+warehouse[[#This Row],[SUPPLY]]-warehouse[[#This Row],[SALE + SAMPLING]]</f>
        <v>0</v>
      </c>
      <c r="EK121" s="449"/>
    </row>
    <row r="122" spans="63:141">
      <c r="BK122" s="146"/>
      <c r="BL122" s="147"/>
      <c r="BM122" s="148"/>
      <c r="BN122" s="147"/>
      <c r="BO122" s="148"/>
      <c r="EE122" s="454" t="s">
        <v>995</v>
      </c>
      <c r="EF122" s="447" t="str">
        <f>VLOOKUP(EE122,bhpc_data[],7,FALSE)</f>
        <v>BHPC TRAY GIFT BOX WOMEN 100ML</v>
      </c>
      <c r="EG122" s="555">
        <f>IFERROR(VLOOKUP(EE122,inventory[],4,FALSE),0)</f>
        <v>0</v>
      </c>
      <c r="EH122" s="555">
        <f>IFERROR(VLOOKUP(warehouse[[#This Row],[SKU]],$EQ$10:$ES$38,3,FALSE),0)</f>
        <v>0</v>
      </c>
      <c r="EI122" s="555">
        <f>IFERROR(VLOOKUP(warehouse[[#This Row],[SKU]],$EM$10:$EO$61,3,FALSE),0)</f>
        <v>0</v>
      </c>
      <c r="EJ122" s="555">
        <f>warehouse[[#This Row],[T-1]]+warehouse[[#This Row],[SUPPLY]]-warehouse[[#This Row],[SALE + SAMPLING]]</f>
        <v>0</v>
      </c>
      <c r="EK122" s="449"/>
    </row>
    <row r="123" spans="63:141">
      <c r="BK123" s="146"/>
      <c r="BL123" s="147"/>
      <c r="BM123" s="148"/>
      <c r="BN123" s="147"/>
      <c r="BO123" s="148"/>
      <c r="EE123" s="454" t="s">
        <v>1012</v>
      </c>
      <c r="EF123" s="447" t="str">
        <f>VLOOKUP(EE123,bhpc_data[],7,FALSE)</f>
        <v>YA2302A BHPC SUNGLASSES RUBB. BLACK / SOLID GREY</v>
      </c>
      <c r="EG123" s="555">
        <f>IFERROR(VLOOKUP(EE123,inventory[],4,FALSE),0)</f>
        <v>0</v>
      </c>
      <c r="EH123" s="555">
        <f>IFERROR(VLOOKUP(warehouse[[#This Row],[SKU]],$EQ$10:$ES$38,3,FALSE),0)</f>
        <v>0</v>
      </c>
      <c r="EI123" s="555">
        <f>IFERROR(VLOOKUP(warehouse[[#This Row],[SKU]],$EM$10:$EO$61,3,FALSE),0)</f>
        <v>0</v>
      </c>
      <c r="EJ123" s="555">
        <f>warehouse[[#This Row],[T-1]]+warehouse[[#This Row],[SUPPLY]]-warehouse[[#This Row],[SALE + SAMPLING]]</f>
        <v>0</v>
      </c>
      <c r="EK123" s="449"/>
    </row>
    <row r="124" spans="63:141">
      <c r="BK124" s="146"/>
      <c r="BL124" s="147"/>
      <c r="BM124" s="148"/>
      <c r="BN124" s="147"/>
      <c r="BO124" s="148"/>
      <c r="EE124" s="454" t="s">
        <v>1013</v>
      </c>
      <c r="EF124" s="447" t="str">
        <f>VLOOKUP(EE124,bhpc_data[],7,FALSE)</f>
        <v>YA2302B BHPC SUNGLASSES RUBB. BLUE/ SOLID SMOKE</v>
      </c>
      <c r="EG124" s="555">
        <f>IFERROR(VLOOKUP(EE124,inventory[],4,FALSE),0)</f>
        <v>0</v>
      </c>
      <c r="EH124" s="555">
        <f>IFERROR(VLOOKUP(warehouse[[#This Row],[SKU]],$EQ$10:$ES$38,3,FALSE),0)</f>
        <v>0</v>
      </c>
      <c r="EI124" s="555">
        <f>IFERROR(VLOOKUP(warehouse[[#This Row],[SKU]],$EM$10:$EO$61,3,FALSE),0)</f>
        <v>0</v>
      </c>
      <c r="EJ124" s="555">
        <f>warehouse[[#This Row],[T-1]]+warehouse[[#This Row],[SUPPLY]]-warehouse[[#This Row],[SALE + SAMPLING]]</f>
        <v>0</v>
      </c>
      <c r="EK124" s="449"/>
    </row>
    <row r="125" spans="63:141">
      <c r="BK125" s="146"/>
      <c r="BL125" s="147"/>
      <c r="BM125" s="148"/>
      <c r="BN125" s="147"/>
      <c r="BO125" s="148"/>
      <c r="EE125" s="454" t="s">
        <v>1014</v>
      </c>
      <c r="EF125" s="447" t="str">
        <f>VLOOKUP(EE125,bhpc_data[],7,FALSE)</f>
        <v>YA2302C BHPC SUNGLASSES RUBB. BLACK / MIRROR ICY</v>
      </c>
      <c r="EG125" s="555">
        <f>IFERROR(VLOOKUP(EE125,inventory[],4,FALSE),0)</f>
        <v>0</v>
      </c>
      <c r="EH125" s="555">
        <f>IFERROR(VLOOKUP(warehouse[[#This Row],[SKU]],$EQ$10:$ES$38,3,FALSE),0)</f>
        <v>0</v>
      </c>
      <c r="EI125" s="555">
        <f>IFERROR(VLOOKUP(warehouse[[#This Row],[SKU]],$EM$10:$EO$61,3,FALSE),0)</f>
        <v>0</v>
      </c>
      <c r="EJ125" s="555">
        <f>warehouse[[#This Row],[T-1]]+warehouse[[#This Row],[SUPPLY]]-warehouse[[#This Row],[SALE + SAMPLING]]</f>
        <v>0</v>
      </c>
      <c r="EK125" s="449"/>
    </row>
    <row r="126" spans="63:141">
      <c r="BK126" s="146"/>
      <c r="BL126" s="147"/>
      <c r="BM126" s="148"/>
      <c r="BN126" s="147"/>
      <c r="BO126" s="148"/>
      <c r="EE126" s="454" t="s">
        <v>1015</v>
      </c>
      <c r="EF126" s="447" t="str">
        <f>VLOOKUP(EE126,bhpc_data[],7,FALSE)</f>
        <v>YB2310A BHPC SUNGLASSES MATT BLACK/SILVER /SOLID GREE</v>
      </c>
      <c r="EG126" s="555">
        <f>IFERROR(VLOOKUP(EE126,inventory[],4,FALSE),0)</f>
        <v>0</v>
      </c>
      <c r="EH126" s="555">
        <f>IFERROR(VLOOKUP(warehouse[[#This Row],[SKU]],$EQ$10:$ES$38,3,FALSE),0)</f>
        <v>0</v>
      </c>
      <c r="EI126" s="555">
        <f>IFERROR(VLOOKUP(warehouse[[#This Row],[SKU]],$EM$10:$EO$61,3,FALSE),0)</f>
        <v>0</v>
      </c>
      <c r="EJ126" s="555">
        <f>warehouse[[#This Row],[T-1]]+warehouse[[#This Row],[SUPPLY]]-warehouse[[#This Row],[SALE + SAMPLING]]</f>
        <v>0</v>
      </c>
      <c r="EK126" s="449"/>
    </row>
    <row r="127" spans="63:141">
      <c r="BK127" s="146"/>
      <c r="BL127" s="147"/>
      <c r="BM127" s="148"/>
      <c r="BN127" s="147"/>
      <c r="BO127" s="148"/>
      <c r="EE127" s="454" t="s">
        <v>1016</v>
      </c>
      <c r="EF127" s="447" t="str">
        <f>VLOOKUP(EE127,bhpc_data[],7,FALSE)</f>
        <v>YB2310B BHPC SUNGLASSES MATT NAVY/SILVER/ SOLID SMOKE</v>
      </c>
      <c r="EG127" s="555">
        <f>IFERROR(VLOOKUP(EE127,inventory[],4,FALSE),0)</f>
        <v>0</v>
      </c>
      <c r="EH127" s="555">
        <f>IFERROR(VLOOKUP(warehouse[[#This Row],[SKU]],$EQ$10:$ES$38,3,FALSE),0)</f>
        <v>0</v>
      </c>
      <c r="EI127" s="555">
        <f>IFERROR(VLOOKUP(warehouse[[#This Row],[SKU]],$EM$10:$EO$61,3,FALSE),0)</f>
        <v>0</v>
      </c>
      <c r="EJ127" s="555">
        <f>warehouse[[#This Row],[T-1]]+warehouse[[#This Row],[SUPPLY]]-warehouse[[#This Row],[SALE + SAMPLING]]</f>
        <v>0</v>
      </c>
      <c r="EK127" s="449"/>
    </row>
    <row r="128" spans="63:141">
      <c r="BK128" s="146"/>
      <c r="BL128" s="147"/>
      <c r="BM128" s="148"/>
      <c r="BN128" s="147"/>
      <c r="BO128" s="148"/>
      <c r="EE128" s="454" t="s">
        <v>1017</v>
      </c>
      <c r="EF128" s="447" t="str">
        <f>VLOOKUP(EE128,bhpc_data[],7,FALSE)</f>
        <v>YB2310C BHPC SUNGLASSES MATT SMOKE/SILVER / SOLID GREY</v>
      </c>
      <c r="EG128" s="555">
        <f>IFERROR(VLOOKUP(EE128,inventory[],4,FALSE),0)</f>
        <v>0</v>
      </c>
      <c r="EH128" s="555">
        <f>IFERROR(VLOOKUP(warehouse[[#This Row],[SKU]],$EQ$10:$ES$38,3,FALSE),0)</f>
        <v>0</v>
      </c>
      <c r="EI128" s="555">
        <f>IFERROR(VLOOKUP(warehouse[[#This Row],[SKU]],$EM$10:$EO$61,3,FALSE),0)</f>
        <v>0</v>
      </c>
      <c r="EJ128" s="555">
        <f>warehouse[[#This Row],[T-1]]+warehouse[[#This Row],[SUPPLY]]-warehouse[[#This Row],[SALE + SAMPLING]]</f>
        <v>0</v>
      </c>
      <c r="EK128" s="449"/>
    </row>
    <row r="129" spans="63:141">
      <c r="BK129" s="146"/>
      <c r="BL129" s="147"/>
      <c r="BM129" s="148"/>
      <c r="BN129" s="147"/>
      <c r="BO129" s="148"/>
      <c r="EE129" s="454" t="s">
        <v>1018</v>
      </c>
      <c r="EF129" s="447" t="str">
        <f>VLOOKUP(EE129,bhpc_data[],7,FALSE)</f>
        <v>YB2313A BHPC SUNGLASSES SATIN NAVY / SOLID SMOKE</v>
      </c>
      <c r="EG129" s="555">
        <f>IFERROR(VLOOKUP(EE129,inventory[],4,FALSE),0)</f>
        <v>0</v>
      </c>
      <c r="EH129" s="555">
        <f>IFERROR(VLOOKUP(warehouse[[#This Row],[SKU]],$EQ$10:$ES$38,3,FALSE),0)</f>
        <v>0</v>
      </c>
      <c r="EI129" s="555">
        <f>IFERROR(VLOOKUP(warehouse[[#This Row],[SKU]],$EM$10:$EO$61,3,FALSE),0)</f>
        <v>0</v>
      </c>
      <c r="EJ129" s="555">
        <f>warehouse[[#This Row],[T-1]]+warehouse[[#This Row],[SUPPLY]]-warehouse[[#This Row],[SALE + SAMPLING]]</f>
        <v>0</v>
      </c>
      <c r="EK129" s="449"/>
    </row>
    <row r="130" spans="63:141">
      <c r="BK130" s="146"/>
      <c r="BL130" s="147"/>
      <c r="BM130" s="148"/>
      <c r="BN130" s="147"/>
      <c r="BO130" s="148"/>
      <c r="EE130" s="454" t="s">
        <v>1019</v>
      </c>
      <c r="EF130" s="447" t="str">
        <f>VLOOKUP(EE130,bhpc_data[],7,FALSE)</f>
        <v>YB2313B BHPC SUNGLASSES MATT BLACK / SOLID GREY</v>
      </c>
      <c r="EG130" s="555">
        <f>IFERROR(VLOOKUP(EE130,inventory[],4,FALSE),0)</f>
        <v>0</v>
      </c>
      <c r="EH130" s="555">
        <f>IFERROR(VLOOKUP(warehouse[[#This Row],[SKU]],$EQ$10:$ES$38,3,FALSE),0)</f>
        <v>0</v>
      </c>
      <c r="EI130" s="555">
        <f>IFERROR(VLOOKUP(warehouse[[#This Row],[SKU]],$EM$10:$EO$61,3,FALSE),0)</f>
        <v>0</v>
      </c>
      <c r="EJ130" s="555">
        <f>warehouse[[#This Row],[T-1]]+warehouse[[#This Row],[SUPPLY]]-warehouse[[#This Row],[SALE + SAMPLING]]</f>
        <v>0</v>
      </c>
      <c r="EK130" s="449"/>
    </row>
    <row r="131" spans="63:141">
      <c r="BK131" s="146"/>
      <c r="BL131" s="147"/>
      <c r="BM131" s="148"/>
      <c r="BN131" s="147"/>
      <c r="BO131" s="148"/>
      <c r="EE131" s="454" t="s">
        <v>1020</v>
      </c>
      <c r="EF131" s="447" t="str">
        <f>VLOOKUP(EE131,bhpc_data[],7,FALSE)</f>
        <v>YB2313C BHPC SUNGLASSES BLACK/GUN / SOLID GREEN</v>
      </c>
      <c r="EG131" s="555">
        <f>IFERROR(VLOOKUP(EE131,inventory[],4,FALSE),0)</f>
        <v>0</v>
      </c>
      <c r="EH131" s="555">
        <f>IFERROR(VLOOKUP(warehouse[[#This Row],[SKU]],$EQ$10:$ES$38,3,FALSE),0)</f>
        <v>0</v>
      </c>
      <c r="EI131" s="555">
        <f>IFERROR(VLOOKUP(warehouse[[#This Row],[SKU]],$EM$10:$EO$61,3,FALSE),0)</f>
        <v>0</v>
      </c>
      <c r="EJ131" s="555">
        <f>warehouse[[#This Row],[T-1]]+warehouse[[#This Row],[SUPPLY]]-warehouse[[#This Row],[SALE + SAMPLING]]</f>
        <v>0</v>
      </c>
      <c r="EK131" s="449"/>
    </row>
    <row r="132" spans="63:141">
      <c r="BK132" s="146"/>
      <c r="BL132" s="147"/>
      <c r="BM132" s="148"/>
      <c r="BN132" s="147"/>
      <c r="BO132" s="148"/>
      <c r="EE132" s="454" t="s">
        <v>1021</v>
      </c>
      <c r="EF132" s="447" t="str">
        <f>VLOOKUP(EE132,bhpc_data[],7,FALSE)</f>
        <v>YB2314A BHPC SUNGLASSES MATT BLACK / SOLID GREEN</v>
      </c>
      <c r="EG132" s="555">
        <f>IFERROR(VLOOKUP(EE132,inventory[],4,FALSE),0)</f>
        <v>0</v>
      </c>
      <c r="EH132" s="555">
        <f>IFERROR(VLOOKUP(warehouse[[#This Row],[SKU]],$EQ$10:$ES$38,3,FALSE),0)</f>
        <v>0</v>
      </c>
      <c r="EI132" s="555">
        <f>IFERROR(VLOOKUP(warehouse[[#This Row],[SKU]],$EM$10:$EO$61,3,FALSE),0)</f>
        <v>0</v>
      </c>
      <c r="EJ132" s="555">
        <f>warehouse[[#This Row],[T-1]]+warehouse[[#This Row],[SUPPLY]]-warehouse[[#This Row],[SALE + SAMPLING]]</f>
        <v>0</v>
      </c>
      <c r="EK132" s="449"/>
    </row>
    <row r="133" spans="63:141">
      <c r="BK133" s="146"/>
      <c r="BL133" s="147"/>
      <c r="BM133" s="148"/>
      <c r="BN133" s="147"/>
      <c r="BO133" s="148"/>
      <c r="EE133" s="454" t="s">
        <v>1022</v>
      </c>
      <c r="EF133" s="447" t="str">
        <f>VLOOKUP(EE133,bhpc_data[],7,FALSE)</f>
        <v>YB2314B BHPC SUNGLASSES MATT BLACK / SOLID GREY</v>
      </c>
      <c r="EG133" s="555">
        <f>IFERROR(VLOOKUP(EE133,inventory[],4,FALSE),0)</f>
        <v>0</v>
      </c>
      <c r="EH133" s="555">
        <f>IFERROR(VLOOKUP(warehouse[[#This Row],[SKU]],$EQ$10:$ES$38,3,FALSE),0)</f>
        <v>0</v>
      </c>
      <c r="EI133" s="555">
        <f>IFERROR(VLOOKUP(warehouse[[#This Row],[SKU]],$EM$10:$EO$61,3,FALSE),0)</f>
        <v>0</v>
      </c>
      <c r="EJ133" s="555">
        <f>warehouse[[#This Row],[T-1]]+warehouse[[#This Row],[SUPPLY]]-warehouse[[#This Row],[SALE + SAMPLING]]</f>
        <v>0</v>
      </c>
      <c r="EK133" s="449"/>
    </row>
    <row r="134" spans="63:141">
      <c r="BK134" s="146"/>
      <c r="BL134" s="147"/>
      <c r="BM134" s="148"/>
      <c r="BN134" s="147"/>
      <c r="BO134" s="148"/>
      <c r="EE134" s="454" t="s">
        <v>1023</v>
      </c>
      <c r="EF134" s="447" t="str">
        <f>VLOOKUP(EE134,bhpc_data[],7,FALSE)</f>
        <v>YB2314C BHPC SUNGLASSES BLACK / HIGH TRANSMIT YELLOW</v>
      </c>
      <c r="EG134" s="555">
        <f>IFERROR(VLOOKUP(EE134,inventory[],4,FALSE),0)</f>
        <v>0</v>
      </c>
      <c r="EH134" s="555">
        <f>IFERROR(VLOOKUP(warehouse[[#This Row],[SKU]],$EQ$10:$ES$38,3,FALSE),0)</f>
        <v>0</v>
      </c>
      <c r="EI134" s="555">
        <f>IFERROR(VLOOKUP(warehouse[[#This Row],[SKU]],$EM$10:$EO$61,3,FALSE),0)</f>
        <v>0</v>
      </c>
      <c r="EJ134" s="555">
        <f>warehouse[[#This Row],[T-1]]+warehouse[[#This Row],[SUPPLY]]-warehouse[[#This Row],[SALE + SAMPLING]]</f>
        <v>0</v>
      </c>
      <c r="EK134" s="449"/>
    </row>
    <row r="135" spans="63:141">
      <c r="BK135" s="146"/>
      <c r="BL135" s="147"/>
      <c r="BM135" s="148"/>
      <c r="BN135" s="147"/>
      <c r="BO135" s="148"/>
      <c r="EE135" s="454" t="s">
        <v>1024</v>
      </c>
      <c r="EF135" s="447" t="str">
        <f>VLOOKUP(EE135,bhpc_data[],7,FALSE)</f>
        <v>YB1304A BHPC SUNGLASSES GUN/TRANSP.GREY/GRADIENT GREY</v>
      </c>
      <c r="EG135" s="555">
        <f>IFERROR(VLOOKUP(EE135,inventory[],4,FALSE),0)</f>
        <v>0</v>
      </c>
      <c r="EH135" s="555">
        <f>IFERROR(VLOOKUP(warehouse[[#This Row],[SKU]],$EQ$10:$ES$38,3,FALSE),0)</f>
        <v>0</v>
      </c>
      <c r="EI135" s="555">
        <f>IFERROR(VLOOKUP(warehouse[[#This Row],[SKU]],$EM$10:$EO$61,3,FALSE),0)</f>
        <v>0</v>
      </c>
      <c r="EJ135" s="555">
        <f>warehouse[[#This Row],[T-1]]+warehouse[[#This Row],[SUPPLY]]-warehouse[[#This Row],[SALE + SAMPLING]]</f>
        <v>0</v>
      </c>
      <c r="EK135" s="449"/>
    </row>
    <row r="136" spans="63:141">
      <c r="BK136" s="146"/>
      <c r="BL136" s="147"/>
      <c r="BM136" s="148"/>
      <c r="BN136" s="147"/>
      <c r="BO136" s="148"/>
      <c r="EE136" s="454" t="s">
        <v>1025</v>
      </c>
      <c r="EF136" s="447" t="str">
        <f>VLOOKUP(EE136,bhpc_data[],7,FALSE)</f>
        <v>YB1304B BHPC SUNGLASSES GOLD/TRANSP.OLIVEGRADIENT CLAY</v>
      </c>
      <c r="EG136" s="555">
        <f>IFERROR(VLOOKUP(EE136,inventory[],4,FALSE),0)</f>
        <v>0</v>
      </c>
      <c r="EH136" s="555">
        <f>IFERROR(VLOOKUP(warehouse[[#This Row],[SKU]],$EQ$10:$ES$38,3,FALSE),0)</f>
        <v>0</v>
      </c>
      <c r="EI136" s="555">
        <f>IFERROR(VLOOKUP(warehouse[[#This Row],[SKU]],$EM$10:$EO$61,3,FALSE),0)</f>
        <v>0</v>
      </c>
      <c r="EJ136" s="555">
        <f>warehouse[[#This Row],[T-1]]+warehouse[[#This Row],[SUPPLY]]-warehouse[[#This Row],[SALE + SAMPLING]]</f>
        <v>0</v>
      </c>
      <c r="EK136" s="449"/>
    </row>
    <row r="137" spans="63:141">
      <c r="BK137" s="146"/>
      <c r="BL137" s="147"/>
      <c r="BM137" s="148"/>
      <c r="BN137" s="147"/>
      <c r="BO137" s="148"/>
      <c r="EE137" s="454" t="s">
        <v>1026</v>
      </c>
      <c r="EF137" s="447" t="str">
        <f>VLOOKUP(EE137,bhpc_data[],7,FALSE)</f>
        <v>YB1304C BHPC SUNGLASSES GUN/TRANSP. BLUE/GRADIENT BLU</v>
      </c>
      <c r="EG137" s="555">
        <f>IFERROR(VLOOKUP(EE137,inventory[],4,FALSE),0)</f>
        <v>0</v>
      </c>
      <c r="EH137" s="555">
        <f>IFERROR(VLOOKUP(warehouse[[#This Row],[SKU]],$EQ$10:$ES$38,3,FALSE),0)</f>
        <v>0</v>
      </c>
      <c r="EI137" s="555">
        <f>IFERROR(VLOOKUP(warehouse[[#This Row],[SKU]],$EM$10:$EO$61,3,FALSE),0)</f>
        <v>0</v>
      </c>
      <c r="EJ137" s="555">
        <f>warehouse[[#This Row],[T-1]]+warehouse[[#This Row],[SUPPLY]]-warehouse[[#This Row],[SALE + SAMPLING]]</f>
        <v>0</v>
      </c>
      <c r="EK137" s="449"/>
    </row>
    <row r="138" spans="63:141">
      <c r="BK138" s="146"/>
      <c r="BL138" s="147"/>
      <c r="BM138" s="148"/>
      <c r="BN138" s="147"/>
      <c r="BO138" s="148"/>
      <c r="EE138" s="454" t="s">
        <v>1027</v>
      </c>
      <c r="EF138" s="447" t="str">
        <f>VLOOKUP(EE138,bhpc_data[],7,FALSE)</f>
        <v>YB1308A BHPC SUNGLASSES SATIN GUN/SOLID SMOKE</v>
      </c>
      <c r="EG138" s="555">
        <f>IFERROR(VLOOKUP(EE138,inventory[],4,FALSE),0)</f>
        <v>0</v>
      </c>
      <c r="EH138" s="555">
        <f>IFERROR(VLOOKUP(warehouse[[#This Row],[SKU]],$EQ$10:$ES$38,3,FALSE),0)</f>
        <v>0</v>
      </c>
      <c r="EI138" s="555">
        <f>IFERROR(VLOOKUP(warehouse[[#This Row],[SKU]],$EM$10:$EO$61,3,FALSE),0)</f>
        <v>0</v>
      </c>
      <c r="EJ138" s="555">
        <f>warehouse[[#This Row],[T-1]]+warehouse[[#This Row],[SUPPLY]]-warehouse[[#This Row],[SALE + SAMPLING]]</f>
        <v>0</v>
      </c>
      <c r="EK138" s="449"/>
    </row>
    <row r="139" spans="63:141">
      <c r="BK139" s="146"/>
      <c r="BL139" s="147"/>
      <c r="BM139" s="148"/>
      <c r="BN139" s="147"/>
      <c r="BO139" s="148"/>
      <c r="EE139" s="454" t="s">
        <v>1028</v>
      </c>
      <c r="EF139" s="447" t="str">
        <f>VLOOKUP(EE139,bhpc_data[],7,FALSE)</f>
        <v>YB1308B BHPC SUNGLASSES GUN/SOLID BROWN</v>
      </c>
      <c r="EG139" s="555">
        <f>IFERROR(VLOOKUP(EE139,inventory[],4,FALSE),0)</f>
        <v>0</v>
      </c>
      <c r="EH139" s="555">
        <f>IFERROR(VLOOKUP(warehouse[[#This Row],[SKU]],$EQ$10:$ES$38,3,FALSE),0)</f>
        <v>0</v>
      </c>
      <c r="EI139" s="555">
        <f>IFERROR(VLOOKUP(warehouse[[#This Row],[SKU]],$EM$10:$EO$61,3,FALSE),0)</f>
        <v>0</v>
      </c>
      <c r="EJ139" s="555">
        <f>warehouse[[#This Row],[T-1]]+warehouse[[#This Row],[SUPPLY]]-warehouse[[#This Row],[SALE + SAMPLING]]</f>
        <v>0</v>
      </c>
      <c r="EK139" s="449"/>
    </row>
    <row r="140" spans="63:141">
      <c r="BK140" s="146"/>
      <c r="BL140" s="147"/>
      <c r="BM140" s="148"/>
      <c r="BN140" s="147"/>
      <c r="BO140" s="148"/>
      <c r="EE140" s="454" t="s">
        <v>1029</v>
      </c>
      <c r="EF140" s="447" t="str">
        <f>VLOOKUP(EE140,bhpc_data[],7,FALSE)</f>
        <v>YB1308C BHPC SUNGLASSES SATIN GOLD/SOLID GREEN</v>
      </c>
      <c r="EG140" s="555">
        <f>IFERROR(VLOOKUP(EE140,inventory[],4,FALSE),0)</f>
        <v>0</v>
      </c>
      <c r="EH140" s="555">
        <f>IFERROR(VLOOKUP(warehouse[[#This Row],[SKU]],$EQ$10:$ES$38,3,FALSE),0)</f>
        <v>0</v>
      </c>
      <c r="EI140" s="555">
        <f>IFERROR(VLOOKUP(warehouse[[#This Row],[SKU]],$EM$10:$EO$61,3,FALSE),0)</f>
        <v>0</v>
      </c>
      <c r="EJ140" s="555">
        <f>warehouse[[#This Row],[T-1]]+warehouse[[#This Row],[SUPPLY]]-warehouse[[#This Row],[SALE + SAMPLING]]</f>
        <v>0</v>
      </c>
      <c r="EK140" s="449"/>
    </row>
    <row r="141" spans="63:141">
      <c r="BK141" s="146"/>
      <c r="BL141" s="147"/>
      <c r="BM141" s="148"/>
      <c r="BN141" s="147"/>
      <c r="BO141" s="148"/>
      <c r="EE141" s="454" t="s">
        <v>1030</v>
      </c>
      <c r="EF141" s="447" t="str">
        <f>VLOOKUP(EE141,bhpc_data[],7,FALSE)</f>
        <v>YB1305A BHPC SUNGLASSES GOLD / SOLID GREEN</v>
      </c>
      <c r="EG141" s="555">
        <f>IFERROR(VLOOKUP(EE141,inventory[],4,FALSE),0)</f>
        <v>0</v>
      </c>
      <c r="EH141" s="555">
        <f>IFERROR(VLOOKUP(warehouse[[#This Row],[SKU]],$EQ$10:$ES$38,3,FALSE),0)</f>
        <v>0</v>
      </c>
      <c r="EI141" s="555">
        <f>IFERROR(VLOOKUP(warehouse[[#This Row],[SKU]],$EM$10:$EO$61,3,FALSE),0)</f>
        <v>0</v>
      </c>
      <c r="EJ141" s="555">
        <f>warehouse[[#This Row],[T-1]]+warehouse[[#This Row],[SUPPLY]]-warehouse[[#This Row],[SALE + SAMPLING]]</f>
        <v>0</v>
      </c>
      <c r="EK141" s="449"/>
    </row>
    <row r="142" spans="63:141">
      <c r="BK142" s="146"/>
      <c r="BL142" s="147"/>
      <c r="BM142" s="148"/>
      <c r="BN142" s="147"/>
      <c r="BO142" s="148"/>
      <c r="EE142" s="454" t="s">
        <v>1031</v>
      </c>
      <c r="EF142" s="447" t="str">
        <f>VLOOKUP(EE142,bhpc_data[],7,FALSE)</f>
        <v>YB1305B BHPC SUNGLASSES GUN/SOLID SMOKE</v>
      </c>
      <c r="EG142" s="555">
        <f>IFERROR(VLOOKUP(EE142,inventory[],4,FALSE),0)</f>
        <v>0</v>
      </c>
      <c r="EH142" s="555">
        <f>IFERROR(VLOOKUP(warehouse[[#This Row],[SKU]],$EQ$10:$ES$38,3,FALSE),0)</f>
        <v>0</v>
      </c>
      <c r="EI142" s="555">
        <f>IFERROR(VLOOKUP(warehouse[[#This Row],[SKU]],$EM$10:$EO$61,3,FALSE),0)</f>
        <v>0</v>
      </c>
      <c r="EJ142" s="555">
        <f>warehouse[[#This Row],[T-1]]+warehouse[[#This Row],[SUPPLY]]-warehouse[[#This Row],[SALE + SAMPLING]]</f>
        <v>0</v>
      </c>
      <c r="EK142" s="449"/>
    </row>
    <row r="143" spans="63:141">
      <c r="BK143" s="146"/>
      <c r="BL143" s="147"/>
      <c r="BM143" s="148"/>
      <c r="BN143" s="147"/>
      <c r="BO143" s="148"/>
      <c r="EE143" s="454" t="s">
        <v>1032</v>
      </c>
      <c r="EF143" s="447" t="str">
        <f>VLOOKUP(EE143,bhpc_data[],7,FALSE)</f>
        <v>YB1305C BHPC SUNGLASSES MATT BLACK / SOLID GREY</v>
      </c>
      <c r="EG143" s="555">
        <f>IFERROR(VLOOKUP(EE143,inventory[],4,FALSE),0)</f>
        <v>0</v>
      </c>
      <c r="EH143" s="555">
        <f>IFERROR(VLOOKUP(warehouse[[#This Row],[SKU]],$EQ$10:$ES$38,3,FALSE),0)</f>
        <v>0</v>
      </c>
      <c r="EI143" s="555">
        <f>IFERROR(VLOOKUP(warehouse[[#This Row],[SKU]],$EM$10:$EO$61,3,FALSE),0)</f>
        <v>0</v>
      </c>
      <c r="EJ143" s="555">
        <f>warehouse[[#This Row],[T-1]]+warehouse[[#This Row],[SUPPLY]]-warehouse[[#This Row],[SALE + SAMPLING]]</f>
        <v>0</v>
      </c>
      <c r="EK143" s="449"/>
    </row>
    <row r="144" spans="63:141">
      <c r="BK144" s="146"/>
      <c r="BL144" s="147"/>
      <c r="BM144" s="148"/>
      <c r="BN144" s="147"/>
      <c r="BO144" s="148"/>
      <c r="EE144" s="454" t="s">
        <v>1033</v>
      </c>
      <c r="EF144" s="447" t="str">
        <f>VLOOKUP(EE144,bhpc_data[],7,FALSE)</f>
        <v>YB1307A BHPC SUNGLASSES GOLD / GRADIENT GREY</v>
      </c>
      <c r="EG144" s="555">
        <f>IFERROR(VLOOKUP(EE144,inventory[],4,FALSE),0)</f>
        <v>0</v>
      </c>
      <c r="EH144" s="555">
        <f>IFERROR(VLOOKUP(warehouse[[#This Row],[SKU]],$EQ$10:$ES$38,3,FALSE),0)</f>
        <v>0</v>
      </c>
      <c r="EI144" s="555">
        <f>IFERROR(VLOOKUP(warehouse[[#This Row],[SKU]],$EM$10:$EO$61,3,FALSE),0)</f>
        <v>0</v>
      </c>
      <c r="EJ144" s="555">
        <f>warehouse[[#This Row],[T-1]]+warehouse[[#This Row],[SUPPLY]]-warehouse[[#This Row],[SALE + SAMPLING]]</f>
        <v>0</v>
      </c>
      <c r="EK144" s="449"/>
    </row>
    <row r="145" spans="63:141">
      <c r="BK145" s="146"/>
      <c r="BL145" s="147"/>
      <c r="BM145" s="148"/>
      <c r="BN145" s="147"/>
      <c r="BO145" s="148"/>
      <c r="EE145" s="454" t="s">
        <v>1034</v>
      </c>
      <c r="EF145" s="447" t="str">
        <f>VLOOKUP(EE145,bhpc_data[],7,FALSE)</f>
        <v>YB1307B BHPC SUNGLASSES BROWN / GRADIENT CLAY</v>
      </c>
      <c r="EG145" s="555">
        <f>IFERROR(VLOOKUP(EE145,inventory[],4,FALSE),0)</f>
        <v>0</v>
      </c>
      <c r="EH145" s="555">
        <f>IFERROR(VLOOKUP(warehouse[[#This Row],[SKU]],$EQ$10:$ES$38,3,FALSE),0)</f>
        <v>0</v>
      </c>
      <c r="EI145" s="555">
        <f>IFERROR(VLOOKUP(warehouse[[#This Row],[SKU]],$EM$10:$EO$61,3,FALSE),0)</f>
        <v>0</v>
      </c>
      <c r="EJ145" s="555">
        <f>warehouse[[#This Row],[T-1]]+warehouse[[#This Row],[SUPPLY]]-warehouse[[#This Row],[SALE + SAMPLING]]</f>
        <v>0</v>
      </c>
      <c r="EK145" s="449"/>
    </row>
    <row r="146" spans="63:141">
      <c r="BK146" s="146"/>
      <c r="BL146" s="147"/>
      <c r="BM146" s="148"/>
      <c r="BN146" s="147"/>
      <c r="BO146" s="148"/>
      <c r="EE146" s="454" t="s">
        <v>1035</v>
      </c>
      <c r="EF146" s="447" t="str">
        <f>VLOOKUP(EE146,bhpc_data[],7,FALSE)</f>
        <v>YB1307C BHPC SUNGLASSES ROSE GOLD/DOUBLE GRAD. GREYRED</v>
      </c>
      <c r="EG146" s="555">
        <f>IFERROR(VLOOKUP(EE146,inventory[],4,FALSE),0)</f>
        <v>0</v>
      </c>
      <c r="EH146" s="555">
        <f>IFERROR(VLOOKUP(warehouse[[#This Row],[SKU]],$EQ$10:$ES$38,3,FALSE),0)</f>
        <v>0</v>
      </c>
      <c r="EI146" s="555">
        <f>IFERROR(VLOOKUP(warehouse[[#This Row],[SKU]],$EM$10:$EO$61,3,FALSE),0)</f>
        <v>0</v>
      </c>
      <c r="EJ146" s="555">
        <f>warehouse[[#This Row],[T-1]]+warehouse[[#This Row],[SUPPLY]]-warehouse[[#This Row],[SALE + SAMPLING]]</f>
        <v>0</v>
      </c>
      <c r="EK146" s="449"/>
    </row>
    <row r="147" spans="63:141">
      <c r="BK147" s="146"/>
      <c r="BL147" s="147"/>
      <c r="BM147" s="148"/>
      <c r="BN147" s="147"/>
      <c r="BO147" s="148"/>
      <c r="EE147" s="454" t="s">
        <v>1036</v>
      </c>
      <c r="EF147" s="447" t="str">
        <f>VLOOKUP(EE147,bhpc_data[],7,FALSE)</f>
        <v>YB1306A BHPC SUNGLASSES GOLD/BLACK GRADIENT GREY</v>
      </c>
      <c r="EG147" s="555">
        <f>IFERROR(VLOOKUP(EE147,inventory[],4,FALSE),0)</f>
        <v>0</v>
      </c>
      <c r="EH147" s="555">
        <f>IFERROR(VLOOKUP(warehouse[[#This Row],[SKU]],$EQ$10:$ES$38,3,FALSE),0)</f>
        <v>0</v>
      </c>
      <c r="EI147" s="555">
        <f>IFERROR(VLOOKUP(warehouse[[#This Row],[SKU]],$EM$10:$EO$61,3,FALSE),0)</f>
        <v>0</v>
      </c>
      <c r="EJ147" s="555">
        <f>warehouse[[#This Row],[T-1]]+warehouse[[#This Row],[SUPPLY]]-warehouse[[#This Row],[SALE + SAMPLING]]</f>
        <v>0</v>
      </c>
      <c r="EK147" s="449"/>
    </row>
    <row r="148" spans="63:141">
      <c r="BK148" s="146"/>
      <c r="BL148" s="147"/>
      <c r="BM148" s="148"/>
      <c r="BN148" s="147"/>
      <c r="BO148" s="148"/>
      <c r="EE148" s="454" t="s">
        <v>1037</v>
      </c>
      <c r="EF148" s="447" t="str">
        <f>VLOOKUP(EE148,bhpc_data[],7,FALSE)</f>
        <v>YB1306B BHPC SUNGLASSES GOLD/BEIGE / GRADIENT CLAY</v>
      </c>
      <c r="EG148" s="555">
        <f>IFERROR(VLOOKUP(EE148,inventory[],4,FALSE),0)</f>
        <v>0</v>
      </c>
      <c r="EH148" s="555">
        <f>IFERROR(VLOOKUP(warehouse[[#This Row],[SKU]],$EQ$10:$ES$38,3,FALSE),0)</f>
        <v>0</v>
      </c>
      <c r="EI148" s="555">
        <f>IFERROR(VLOOKUP(warehouse[[#This Row],[SKU]],$EM$10:$EO$61,3,FALSE),0)</f>
        <v>0</v>
      </c>
      <c r="EJ148" s="555">
        <f>warehouse[[#This Row],[T-1]]+warehouse[[#This Row],[SUPPLY]]-warehouse[[#This Row],[SALE + SAMPLING]]</f>
        <v>0</v>
      </c>
      <c r="EK148" s="449"/>
    </row>
    <row r="149" spans="63:141">
      <c r="BK149" s="146"/>
      <c r="BL149" s="147"/>
      <c r="BM149" s="148"/>
      <c r="BN149" s="147"/>
      <c r="BO149" s="148"/>
      <c r="EE149" s="454" t="s">
        <v>1038</v>
      </c>
      <c r="EF149" s="447" t="str">
        <f>VLOOKUP(EE149,bhpc_data[],7,FALSE)</f>
        <v>YB1306C BHPC SUNGLASSES BRONZE GOLD / GRADIENT COFFEE</v>
      </c>
      <c r="EG149" s="555">
        <f>IFERROR(VLOOKUP(EE149,inventory[],4,FALSE),0)</f>
        <v>0</v>
      </c>
      <c r="EH149" s="555">
        <f>IFERROR(VLOOKUP(warehouse[[#This Row],[SKU]],$EQ$10:$ES$38,3,FALSE),0)</f>
        <v>0</v>
      </c>
      <c r="EI149" s="555">
        <f>IFERROR(VLOOKUP(warehouse[[#This Row],[SKU]],$EM$10:$EO$61,3,FALSE),0)</f>
        <v>0</v>
      </c>
      <c r="EJ149" s="555">
        <f>warehouse[[#This Row],[T-1]]+warehouse[[#This Row],[SUPPLY]]-warehouse[[#This Row],[SALE + SAMPLING]]</f>
        <v>0</v>
      </c>
      <c r="EK149" s="449"/>
    </row>
    <row r="150" spans="63:141">
      <c r="BK150" s="146"/>
      <c r="BL150" s="147"/>
      <c r="BM150" s="148"/>
      <c r="BN150" s="147"/>
      <c r="BO150" s="148"/>
      <c r="EE150" s="454" t="s">
        <v>1039</v>
      </c>
      <c r="EF150" s="447" t="str">
        <f>VLOOKUP(EE150,bhpc_data[],7,FALSE)</f>
        <v>YB2311A BHPC SUNGLASSES DEMI / GRADIENT MOCCA</v>
      </c>
      <c r="EG150" s="555">
        <f>IFERROR(VLOOKUP(EE150,inventory[],4,FALSE),0)</f>
        <v>0</v>
      </c>
      <c r="EH150" s="555">
        <f>IFERROR(VLOOKUP(warehouse[[#This Row],[SKU]],$EQ$10:$ES$38,3,FALSE),0)</f>
        <v>0</v>
      </c>
      <c r="EI150" s="555">
        <f>IFERROR(VLOOKUP(warehouse[[#This Row],[SKU]],$EM$10:$EO$61,3,FALSE),0)</f>
        <v>0</v>
      </c>
      <c r="EJ150" s="555">
        <f>warehouse[[#This Row],[T-1]]+warehouse[[#This Row],[SUPPLY]]-warehouse[[#This Row],[SALE + SAMPLING]]</f>
        <v>0</v>
      </c>
      <c r="EK150" s="449"/>
    </row>
    <row r="151" spans="63:141">
      <c r="BK151" s="146"/>
      <c r="BL151" s="147"/>
      <c r="BM151" s="148"/>
      <c r="BN151" s="147"/>
      <c r="BO151" s="148"/>
      <c r="EE151" s="454" t="s">
        <v>1040</v>
      </c>
      <c r="EF151" s="447" t="str">
        <f>VLOOKUP(EE151,bhpc_data[],7,FALSE)</f>
        <v>YB2311B BHPC SUNGLASSES BLACK / GRADIENT GREY</v>
      </c>
      <c r="EG151" s="555">
        <f>IFERROR(VLOOKUP(EE151,inventory[],4,FALSE),0)</f>
        <v>0</v>
      </c>
      <c r="EH151" s="555">
        <f>IFERROR(VLOOKUP(warehouse[[#This Row],[SKU]],$EQ$10:$ES$38,3,FALSE),0)</f>
        <v>0</v>
      </c>
      <c r="EI151" s="555">
        <f>IFERROR(VLOOKUP(warehouse[[#This Row],[SKU]],$EM$10:$EO$61,3,FALSE),0)</f>
        <v>0</v>
      </c>
      <c r="EJ151" s="555">
        <f>warehouse[[#This Row],[T-1]]+warehouse[[#This Row],[SUPPLY]]-warehouse[[#This Row],[SALE + SAMPLING]]</f>
        <v>0</v>
      </c>
      <c r="EK151" s="449"/>
    </row>
    <row r="152" spans="63:141">
      <c r="BK152" s="146"/>
      <c r="BL152" s="147"/>
      <c r="BM152" s="148"/>
      <c r="BN152" s="147"/>
      <c r="BO152" s="148"/>
      <c r="EE152" s="454" t="s">
        <v>1041</v>
      </c>
      <c r="EF152" s="447" t="str">
        <f>VLOOKUP(EE152,bhpc_data[],7,FALSE)</f>
        <v>YB2311C BHPC SUNGLASSES TRANSP. OLIVE / GRADIENT CLAY</v>
      </c>
      <c r="EG152" s="555">
        <f>IFERROR(VLOOKUP(EE152,inventory[],4,FALSE),0)</f>
        <v>0</v>
      </c>
      <c r="EH152" s="555">
        <f>IFERROR(VLOOKUP(warehouse[[#This Row],[SKU]],$EQ$10:$ES$38,3,FALSE),0)</f>
        <v>0</v>
      </c>
      <c r="EI152" s="555">
        <f>IFERROR(VLOOKUP(warehouse[[#This Row],[SKU]],$EM$10:$EO$61,3,FALSE),0)</f>
        <v>0</v>
      </c>
      <c r="EJ152" s="555">
        <f>warehouse[[#This Row],[T-1]]+warehouse[[#This Row],[SUPPLY]]-warehouse[[#This Row],[SALE + SAMPLING]]</f>
        <v>0</v>
      </c>
      <c r="EK152" s="449"/>
    </row>
    <row r="153" spans="63:141">
      <c r="BK153" s="146"/>
      <c r="BL153" s="147"/>
      <c r="BM153" s="148"/>
      <c r="BN153" s="147"/>
      <c r="BO153" s="148"/>
      <c r="EE153" s="454" t="s">
        <v>1042</v>
      </c>
      <c r="EF153" s="447" t="str">
        <f>VLOOKUP(EE153,bhpc_data[],7,FALSE)</f>
        <v>YB2315A BHPC SUNGLASSES BLACK CRYSTAL GRADIENT GREEN</v>
      </c>
      <c r="EG153" s="555">
        <f>IFERROR(VLOOKUP(EE153,inventory[],4,FALSE),0)</f>
        <v>0</v>
      </c>
      <c r="EH153" s="555">
        <f>IFERROR(VLOOKUP(warehouse[[#This Row],[SKU]],$EQ$10:$ES$38,3,FALSE),0)</f>
        <v>0</v>
      </c>
      <c r="EI153" s="555">
        <f>IFERROR(VLOOKUP(warehouse[[#This Row],[SKU]],$EM$10:$EO$61,3,FALSE),0)</f>
        <v>0</v>
      </c>
      <c r="EJ153" s="555">
        <f>warehouse[[#This Row],[T-1]]+warehouse[[#This Row],[SUPPLY]]-warehouse[[#This Row],[SALE + SAMPLING]]</f>
        <v>0</v>
      </c>
      <c r="EK153" s="449"/>
    </row>
    <row r="154" spans="63:141">
      <c r="BK154" s="146"/>
      <c r="BL154" s="147"/>
      <c r="BM154" s="148"/>
      <c r="BN154" s="147"/>
      <c r="BO154" s="148"/>
      <c r="EE154" s="454" t="s">
        <v>1043</v>
      </c>
      <c r="EF154" s="447" t="str">
        <f>VLOOKUP(EE154,bhpc_data[],7,FALSE)</f>
        <v>YB2315B BHPC SUNGLASSES TRANSP. GREEN / GRADIENT GREY</v>
      </c>
      <c r="EG154" s="555">
        <f>IFERROR(VLOOKUP(EE154,inventory[],4,FALSE),0)</f>
        <v>0</v>
      </c>
      <c r="EH154" s="555">
        <f>IFERROR(VLOOKUP(warehouse[[#This Row],[SKU]],$EQ$10:$ES$38,3,FALSE),0)</f>
        <v>0</v>
      </c>
      <c r="EI154" s="555">
        <f>IFERROR(VLOOKUP(warehouse[[#This Row],[SKU]],$EM$10:$EO$61,3,FALSE),0)</f>
        <v>0</v>
      </c>
      <c r="EJ154" s="555">
        <f>warehouse[[#This Row],[T-1]]+warehouse[[#This Row],[SUPPLY]]-warehouse[[#This Row],[SALE + SAMPLING]]</f>
        <v>0</v>
      </c>
      <c r="EK154" s="449"/>
    </row>
    <row r="155" spans="63:141">
      <c r="BK155" s="146"/>
      <c r="BL155" s="147"/>
      <c r="BM155" s="148"/>
      <c r="BN155" s="147"/>
      <c r="BO155" s="148"/>
      <c r="EE155" s="454" t="s">
        <v>1044</v>
      </c>
      <c r="EF155" s="447" t="str">
        <f>VLOOKUP(EE155,bhpc_data[],7,FALSE)</f>
        <v>YB2315C BHPC SUNGLASSES TRANSP. VIOLET /GRADIENT SMOKE</v>
      </c>
      <c r="EG155" s="555">
        <f>IFERROR(VLOOKUP(EE155,inventory[],4,FALSE),0)</f>
        <v>0</v>
      </c>
      <c r="EH155" s="555">
        <f>IFERROR(VLOOKUP(warehouse[[#This Row],[SKU]],$EQ$10:$ES$38,3,FALSE),0)</f>
        <v>0</v>
      </c>
      <c r="EI155" s="555">
        <f>IFERROR(VLOOKUP(warehouse[[#This Row],[SKU]],$EM$10:$EO$61,3,FALSE),0)</f>
        <v>0</v>
      </c>
      <c r="EJ155" s="555">
        <f>warehouse[[#This Row],[T-1]]+warehouse[[#This Row],[SUPPLY]]-warehouse[[#This Row],[SALE + SAMPLING]]</f>
        <v>0</v>
      </c>
      <c r="EK155" s="449"/>
    </row>
    <row r="156" spans="63:141">
      <c r="BK156" s="146"/>
      <c r="BL156" s="147"/>
      <c r="BM156" s="148"/>
      <c r="BN156" s="147"/>
      <c r="BO156" s="148"/>
      <c r="EE156" s="454" t="s">
        <v>1045</v>
      </c>
      <c r="EF156" s="447" t="str">
        <f>VLOOKUP(EE156,bhpc_data[],7,FALSE)</f>
        <v>YB2312A BHPC SUNGLASSES BLACK / SOLID GREY</v>
      </c>
      <c r="EG156" s="555">
        <f>IFERROR(VLOOKUP(EE156,inventory[],4,FALSE),0)</f>
        <v>0</v>
      </c>
      <c r="EH156" s="555">
        <f>IFERROR(VLOOKUP(warehouse[[#This Row],[SKU]],$EQ$10:$ES$38,3,FALSE),0)</f>
        <v>0</v>
      </c>
      <c r="EI156" s="555">
        <f>IFERROR(VLOOKUP(warehouse[[#This Row],[SKU]],$EM$10:$EO$61,3,FALSE),0)</f>
        <v>0</v>
      </c>
      <c r="EJ156" s="555">
        <f>warehouse[[#This Row],[T-1]]+warehouse[[#This Row],[SUPPLY]]-warehouse[[#This Row],[SALE + SAMPLING]]</f>
        <v>0</v>
      </c>
      <c r="EK156" s="449"/>
    </row>
    <row r="157" spans="63:141">
      <c r="BK157" s="146"/>
      <c r="BL157" s="147"/>
      <c r="BM157" s="148"/>
      <c r="BN157" s="147"/>
      <c r="BO157" s="148"/>
      <c r="EE157" s="454" t="s">
        <v>1046</v>
      </c>
      <c r="EF157" s="447" t="str">
        <f>VLOOKUP(EE157,bhpc_data[],7,FALSE)</f>
        <v>YB2312B BHPC SUNGLASSES RED / SOLID SMOKE</v>
      </c>
      <c r="EG157" s="555">
        <f>IFERROR(VLOOKUP(EE157,inventory[],4,FALSE),0)</f>
        <v>0</v>
      </c>
      <c r="EH157" s="555">
        <f>IFERROR(VLOOKUP(warehouse[[#This Row],[SKU]],$EQ$10:$ES$38,3,FALSE),0)</f>
        <v>0</v>
      </c>
      <c r="EI157" s="555">
        <f>IFERROR(VLOOKUP(warehouse[[#This Row],[SKU]],$EM$10:$EO$61,3,FALSE),0)</f>
        <v>0</v>
      </c>
      <c r="EJ157" s="555">
        <f>warehouse[[#This Row],[T-1]]+warehouse[[#This Row],[SUPPLY]]-warehouse[[#This Row],[SALE + SAMPLING]]</f>
        <v>0</v>
      </c>
      <c r="EK157" s="449"/>
    </row>
    <row r="158" spans="63:141">
      <c r="BK158" s="146"/>
      <c r="BL158" s="147"/>
      <c r="BM158" s="148"/>
      <c r="BN158" s="147"/>
      <c r="BO158" s="148"/>
      <c r="EE158" s="454" t="s">
        <v>1047</v>
      </c>
      <c r="EF158" s="447" t="str">
        <f>VLOOKUP(EE158,bhpc_data[],7,FALSE)</f>
        <v>YB2312C BHPC SUNGLASSES WHITE / GRADIENT GREY</v>
      </c>
      <c r="EG158" s="555">
        <f>IFERROR(VLOOKUP(EE158,inventory[],4,FALSE),0)</f>
        <v>0</v>
      </c>
      <c r="EH158" s="555">
        <f>IFERROR(VLOOKUP(warehouse[[#This Row],[SKU]],$EQ$10:$ES$38,3,FALSE),0)</f>
        <v>0</v>
      </c>
      <c r="EI158" s="555">
        <f>IFERROR(VLOOKUP(warehouse[[#This Row],[SKU]],$EM$10:$EO$61,3,FALSE),0)</f>
        <v>0</v>
      </c>
      <c r="EJ158" s="555">
        <f>warehouse[[#This Row],[T-1]]+warehouse[[#This Row],[SUPPLY]]-warehouse[[#This Row],[SALE + SAMPLING]]</f>
        <v>0</v>
      </c>
      <c r="EK158" s="449"/>
    </row>
    <row r="159" spans="63:141">
      <c r="BK159" s="146"/>
      <c r="BL159" s="147"/>
      <c r="BM159" s="148"/>
      <c r="BN159" s="147"/>
      <c r="BO159" s="148"/>
      <c r="EE159" s="454" t="s">
        <v>1048</v>
      </c>
      <c r="EF159" s="447" t="str">
        <f>VLOOKUP(EE159,bhpc_data[],7,FALSE)</f>
        <v>BHPC SUNGLASSES CASE AO49L BROWN FOR MEN</v>
      </c>
      <c r="EG159" s="555">
        <f>IFERROR(VLOOKUP(EE159,inventory[],4,FALSE),0)</f>
        <v>0</v>
      </c>
      <c r="EH159" s="555">
        <f>IFERROR(VLOOKUP(warehouse[[#This Row],[SKU]],$EQ$10:$ES$38,3,FALSE),0)</f>
        <v>0</v>
      </c>
      <c r="EI159" s="555">
        <f>IFERROR(VLOOKUP(warehouse[[#This Row],[SKU]],$EM$10:$EO$61,3,FALSE),0)</f>
        <v>0</v>
      </c>
      <c r="EJ159" s="555">
        <f>warehouse[[#This Row],[T-1]]+warehouse[[#This Row],[SUPPLY]]-warehouse[[#This Row],[SALE + SAMPLING]]</f>
        <v>0</v>
      </c>
      <c r="EK159" s="449"/>
    </row>
    <row r="160" spans="63:141">
      <c r="BK160" s="146"/>
      <c r="BL160" s="147"/>
      <c r="BM160" s="148"/>
      <c r="BN160" s="147"/>
      <c r="BO160" s="148"/>
      <c r="EE160" s="454" t="s">
        <v>1049</v>
      </c>
      <c r="EF160" s="447" t="str">
        <f>VLOOKUP(EE160,bhpc_data[],7,FALSE)</f>
        <v>BHPC SUNGLASSES CASE AO49L WHITE FOR WOMEN</v>
      </c>
      <c r="EG160" s="555">
        <f>IFERROR(VLOOKUP(EE160,inventory[],4,FALSE),0)</f>
        <v>0</v>
      </c>
      <c r="EH160" s="555">
        <f>IFERROR(VLOOKUP(warehouse[[#This Row],[SKU]],$EQ$10:$ES$38,3,FALSE),0)</f>
        <v>0</v>
      </c>
      <c r="EI160" s="555">
        <f>IFERROR(VLOOKUP(warehouse[[#This Row],[SKU]],$EM$10:$EO$61,3,FALSE),0)</f>
        <v>0</v>
      </c>
      <c r="EJ160" s="555">
        <f>warehouse[[#This Row],[T-1]]+warehouse[[#This Row],[SUPPLY]]-warehouse[[#This Row],[SALE + SAMPLING]]</f>
        <v>0</v>
      </c>
      <c r="EK160" s="449"/>
    </row>
    <row r="161" spans="63:67">
      <c r="BK161" s="146"/>
      <c r="BL161" s="147"/>
      <c r="BM161" s="148"/>
      <c r="BN161" s="147"/>
      <c r="BO161" s="148"/>
    </row>
    <row r="162" spans="63:67">
      <c r="BK162" s="146"/>
      <c r="BL162" s="147"/>
      <c r="BM162" s="148"/>
      <c r="BN162" s="147"/>
      <c r="BO162" s="148"/>
    </row>
    <row r="163" spans="63:67">
      <c r="BK163" s="146"/>
      <c r="BL163" s="147"/>
      <c r="BM163" s="148"/>
      <c r="BN163" s="147"/>
      <c r="BO163" s="148"/>
    </row>
    <row r="164" spans="63:67">
      <c r="BK164" s="146"/>
      <c r="BL164" s="147"/>
      <c r="BM164" s="148"/>
      <c r="BN164" s="147"/>
      <c r="BO164" s="148"/>
    </row>
    <row r="165" spans="63:67">
      <c r="BK165" s="146"/>
      <c r="BL165" s="147"/>
      <c r="BM165" s="148"/>
      <c r="BN165" s="147"/>
      <c r="BO165" s="148"/>
    </row>
    <row r="166" spans="63:67">
      <c r="BK166" s="146"/>
      <c r="BL166" s="147"/>
      <c r="BM166" s="148"/>
      <c r="BN166" s="147"/>
      <c r="BO166" s="148"/>
    </row>
    <row r="167" spans="63:67">
      <c r="BK167" s="146"/>
      <c r="BL167" s="147"/>
      <c r="BM167" s="148"/>
      <c r="BN167" s="147"/>
      <c r="BO167" s="148"/>
    </row>
    <row r="168" spans="63:67">
      <c r="BK168" s="146"/>
      <c r="BL168" s="147"/>
      <c r="BM168" s="148"/>
      <c r="BN168" s="147"/>
      <c r="BO168" s="148"/>
    </row>
    <row r="169" spans="63:67">
      <c r="BK169" s="146"/>
      <c r="BL169" s="147"/>
      <c r="BM169" s="148"/>
      <c r="BN169" s="147"/>
      <c r="BO169" s="148"/>
    </row>
    <row r="170" spans="63:67">
      <c r="BK170" s="146"/>
      <c r="BL170" s="147"/>
      <c r="BM170" s="148"/>
      <c r="BN170" s="147"/>
      <c r="BO170" s="148"/>
    </row>
    <row r="171" spans="63:67">
      <c r="BK171" s="146"/>
      <c r="BL171" s="147"/>
      <c r="BM171" s="148"/>
      <c r="BN171" s="147"/>
      <c r="BO171" s="148"/>
    </row>
    <row r="172" spans="63:67">
      <c r="BK172" s="146"/>
      <c r="BL172" s="147"/>
      <c r="BM172" s="148"/>
      <c r="BN172" s="147"/>
      <c r="BO172" s="148"/>
    </row>
    <row r="173" spans="63:67">
      <c r="BK173" s="146"/>
      <c r="BL173" s="147"/>
      <c r="BM173" s="148"/>
      <c r="BN173" s="147"/>
      <c r="BO173" s="148"/>
    </row>
    <row r="174" spans="63:67">
      <c r="BK174" s="146"/>
      <c r="BL174" s="147"/>
      <c r="BM174" s="148"/>
      <c r="BN174" s="147"/>
      <c r="BO174" s="148"/>
    </row>
    <row r="175" spans="63:67">
      <c r="BK175" s="146"/>
      <c r="BL175" s="147"/>
      <c r="BM175" s="148"/>
      <c r="BN175" s="147"/>
      <c r="BO175" s="148"/>
    </row>
    <row r="176" spans="63:67">
      <c r="BK176" s="146"/>
      <c r="BL176" s="147"/>
      <c r="BM176" s="148"/>
      <c r="BN176" s="147"/>
      <c r="BO176" s="148"/>
    </row>
    <row r="177" spans="63:67">
      <c r="BK177" s="146"/>
      <c r="BL177" s="147"/>
      <c r="BM177" s="148"/>
      <c r="BN177" s="147"/>
      <c r="BO177" s="148"/>
    </row>
    <row r="178" spans="63:67">
      <c r="BK178" s="146"/>
      <c r="BL178" s="147"/>
      <c r="BM178" s="148"/>
      <c r="BN178" s="147"/>
      <c r="BO178" s="148"/>
    </row>
    <row r="179" spans="63:67">
      <c r="BK179" s="146"/>
      <c r="BL179" s="147"/>
      <c r="BM179" s="148"/>
      <c r="BN179" s="147"/>
      <c r="BO179" s="148"/>
    </row>
    <row r="180" spans="63:67">
      <c r="BK180" s="146"/>
      <c r="BL180" s="147"/>
      <c r="BM180" s="148"/>
      <c r="BN180" s="147"/>
      <c r="BO180" s="148"/>
    </row>
    <row r="181" spans="63:67">
      <c r="BK181" s="146"/>
      <c r="BL181" s="147"/>
      <c r="BM181" s="148"/>
      <c r="BN181" s="147"/>
      <c r="BO181" s="148"/>
    </row>
    <row r="182" spans="63:67">
      <c r="BK182" s="146"/>
      <c r="BL182" s="147"/>
      <c r="BM182" s="148"/>
      <c r="BN182" s="147"/>
      <c r="BO182" s="148"/>
    </row>
    <row r="183" spans="63:67">
      <c r="BK183" s="146"/>
      <c r="BL183" s="147"/>
      <c r="BM183" s="148"/>
      <c r="BN183" s="147"/>
      <c r="BO183" s="148"/>
    </row>
    <row r="184" spans="63:67">
      <c r="BK184" s="146"/>
      <c r="BL184" s="147"/>
      <c r="BM184" s="148"/>
      <c r="BN184" s="147"/>
      <c r="BO184" s="148"/>
    </row>
    <row r="185" spans="63:67">
      <c r="BK185" s="146"/>
      <c r="BL185" s="147"/>
      <c r="BM185" s="148"/>
      <c r="BN185" s="147"/>
      <c r="BO185" s="148"/>
    </row>
    <row r="186" spans="63:67">
      <c r="BK186" s="146"/>
      <c r="BL186" s="147"/>
      <c r="BM186" s="148"/>
      <c r="BN186" s="147"/>
      <c r="BO186" s="148"/>
    </row>
    <row r="187" spans="63:67">
      <c r="BK187" s="146"/>
      <c r="BL187" s="147"/>
      <c r="BM187" s="148"/>
      <c r="BN187" s="147"/>
      <c r="BO187" s="148"/>
    </row>
    <row r="188" spans="63:67">
      <c r="BK188" s="146"/>
      <c r="BL188" s="147"/>
      <c r="BM188" s="148"/>
      <c r="BN188" s="147"/>
      <c r="BO188" s="148"/>
    </row>
    <row r="189" spans="63:67">
      <c r="BK189" s="146"/>
      <c r="BL189" s="147"/>
      <c r="BM189" s="148"/>
      <c r="BN189" s="147"/>
      <c r="BO189" s="148"/>
    </row>
    <row r="190" spans="63:67">
      <c r="BK190" s="146"/>
      <c r="BL190" s="147"/>
      <c r="BM190" s="148"/>
      <c r="BN190" s="147"/>
      <c r="BO190" s="148"/>
    </row>
    <row r="191" spans="63:67">
      <c r="BK191" s="146"/>
      <c r="BL191" s="147"/>
      <c r="BM191" s="148"/>
      <c r="BN191" s="147"/>
      <c r="BO191" s="148"/>
    </row>
    <row r="192" spans="63:67">
      <c r="BK192" s="146"/>
      <c r="BL192" s="147"/>
      <c r="BM192" s="148"/>
      <c r="BN192" s="147"/>
      <c r="BO192" s="148"/>
    </row>
    <row r="193" spans="63:67">
      <c r="BK193" s="146"/>
      <c r="BL193" s="147"/>
      <c r="BM193" s="148"/>
      <c r="BN193" s="147"/>
      <c r="BO193" s="148"/>
    </row>
    <row r="194" spans="63:67">
      <c r="BK194" s="146"/>
      <c r="BL194" s="147"/>
      <c r="BM194" s="148"/>
      <c r="BN194" s="147"/>
      <c r="BO194" s="148"/>
    </row>
    <row r="195" spans="63:67">
      <c r="BK195" s="146"/>
      <c r="BL195" s="147"/>
      <c r="BM195" s="148"/>
      <c r="BN195" s="147"/>
      <c r="BO195" s="148"/>
    </row>
    <row r="196" spans="63:67">
      <c r="BK196" s="146"/>
      <c r="BL196" s="147"/>
      <c r="BM196" s="148"/>
      <c r="BN196" s="147"/>
      <c r="BO196" s="148"/>
    </row>
    <row r="197" spans="63:67">
      <c r="BK197" s="146"/>
      <c r="BL197" s="147"/>
      <c r="BM197" s="148"/>
      <c r="BN197" s="147"/>
      <c r="BO197" s="148"/>
    </row>
    <row r="198" spans="63:67">
      <c r="BK198" s="146"/>
      <c r="BL198" s="147"/>
      <c r="BM198" s="148"/>
      <c r="BN198" s="147"/>
      <c r="BO198" s="148"/>
    </row>
    <row r="199" spans="63:67">
      <c r="BK199" s="146"/>
      <c r="BL199" s="147"/>
      <c r="BM199" s="148"/>
      <c r="BN199" s="147"/>
      <c r="BO199" s="148"/>
    </row>
    <row r="200" spans="63:67">
      <c r="BK200" s="146"/>
      <c r="BL200" s="147"/>
      <c r="BM200" s="148"/>
      <c r="BN200" s="147"/>
      <c r="BO200" s="148"/>
    </row>
    <row r="201" spans="63:67">
      <c r="BK201" s="146"/>
      <c r="BL201" s="147"/>
      <c r="BM201" s="148"/>
      <c r="BN201" s="147"/>
      <c r="BO201" s="148"/>
    </row>
    <row r="202" spans="63:67">
      <c r="BK202" s="146"/>
      <c r="BL202" s="147"/>
      <c r="BM202" s="148"/>
      <c r="BN202" s="147"/>
      <c r="BO202" s="148"/>
    </row>
    <row r="203" spans="63:67">
      <c r="BK203" s="146"/>
      <c r="BL203" s="147"/>
      <c r="BM203" s="148"/>
      <c r="BN203" s="147"/>
      <c r="BO203" s="148"/>
    </row>
    <row r="204" spans="63:67">
      <c r="BK204" s="146"/>
      <c r="BL204" s="147"/>
      <c r="BM204" s="148"/>
      <c r="BN204" s="147"/>
      <c r="BO204" s="148"/>
    </row>
    <row r="205" spans="63:67">
      <c r="BK205" s="146"/>
      <c r="BL205" s="147"/>
      <c r="BM205" s="148"/>
      <c r="BN205" s="147"/>
      <c r="BO205" s="148"/>
    </row>
    <row r="206" spans="63:67">
      <c r="BK206" s="146"/>
      <c r="BL206" s="147"/>
      <c r="BM206" s="148"/>
      <c r="BN206" s="147"/>
      <c r="BO206" s="148"/>
    </row>
    <row r="207" spans="63:67">
      <c r="BK207" s="146"/>
      <c r="BL207" s="147"/>
      <c r="BM207" s="148"/>
      <c r="BN207" s="147"/>
      <c r="BO207" s="148"/>
    </row>
    <row r="208" spans="63:67">
      <c r="BK208" s="146"/>
      <c r="BL208" s="147"/>
      <c r="BM208" s="148"/>
      <c r="BN208" s="147"/>
      <c r="BO208" s="148"/>
    </row>
    <row r="209" spans="63:67">
      <c r="BK209" s="146"/>
      <c r="BL209" s="147"/>
      <c r="BM209" s="148"/>
      <c r="BN209" s="147"/>
      <c r="BO209" s="148"/>
    </row>
    <row r="210" spans="63:67">
      <c r="BK210" s="146"/>
      <c r="BL210" s="147"/>
      <c r="BM210" s="148"/>
      <c r="BN210" s="147"/>
      <c r="BO210" s="148"/>
    </row>
    <row r="211" spans="63:67">
      <c r="BK211" s="146"/>
      <c r="BL211" s="147"/>
      <c r="BM211" s="148"/>
      <c r="BN211" s="147"/>
      <c r="BO211" s="148"/>
    </row>
    <row r="212" spans="63:67">
      <c r="BK212" s="146"/>
      <c r="BL212" s="147"/>
      <c r="BM212" s="148"/>
      <c r="BN212" s="147"/>
      <c r="BO212" s="148"/>
    </row>
    <row r="213" spans="63:67">
      <c r="BK213" s="146"/>
      <c r="BL213" s="147"/>
      <c r="BM213" s="148"/>
      <c r="BN213" s="147"/>
      <c r="BO213" s="148"/>
    </row>
    <row r="214" spans="63:67">
      <c r="BK214" s="146"/>
      <c r="BL214" s="147"/>
      <c r="BM214" s="148"/>
      <c r="BN214" s="147"/>
      <c r="BO214" s="148"/>
    </row>
    <row r="215" spans="63:67">
      <c r="BK215" s="146"/>
      <c r="BL215" s="147"/>
      <c r="BM215" s="148"/>
      <c r="BN215" s="147"/>
      <c r="BO215" s="148"/>
    </row>
    <row r="216" spans="63:67">
      <c r="BK216" s="146"/>
      <c r="BL216" s="147"/>
      <c r="BM216" s="148"/>
      <c r="BN216" s="147"/>
      <c r="BO216" s="148"/>
    </row>
    <row r="217" spans="63:67">
      <c r="BK217" s="146"/>
      <c r="BL217" s="147"/>
      <c r="BM217" s="148"/>
      <c r="BN217" s="147"/>
      <c r="BO217" s="148"/>
    </row>
    <row r="218" spans="63:67">
      <c r="BK218" s="146"/>
      <c r="BL218" s="147"/>
      <c r="BM218" s="148"/>
      <c r="BN218" s="147"/>
      <c r="BO218" s="148"/>
    </row>
    <row r="219" spans="63:67">
      <c r="BK219" s="146"/>
      <c r="BL219" s="147"/>
      <c r="BM219" s="148"/>
      <c r="BN219" s="147"/>
      <c r="BO219" s="148"/>
    </row>
    <row r="220" spans="63:67">
      <c r="BK220" s="146"/>
      <c r="BL220" s="147"/>
      <c r="BM220" s="148"/>
      <c r="BN220" s="147"/>
      <c r="BO220" s="148"/>
    </row>
    <row r="221" spans="63:67">
      <c r="BK221" s="146"/>
      <c r="BL221" s="147"/>
      <c r="BM221" s="148"/>
      <c r="BN221" s="147"/>
      <c r="BO221" s="148"/>
    </row>
    <row r="222" spans="63:67">
      <c r="BK222" s="146"/>
      <c r="BL222" s="147"/>
      <c r="BM222" s="148"/>
      <c r="BN222" s="147"/>
      <c r="BO222" s="148"/>
    </row>
    <row r="223" spans="63:67">
      <c r="BK223" s="146"/>
      <c r="BL223" s="147"/>
      <c r="BM223" s="148"/>
      <c r="BN223" s="147"/>
      <c r="BO223" s="148"/>
    </row>
    <row r="224" spans="63:67">
      <c r="BK224" s="146"/>
      <c r="BL224" s="147"/>
      <c r="BM224" s="148"/>
      <c r="BN224" s="147"/>
      <c r="BO224" s="148"/>
    </row>
    <row r="225" spans="63:67">
      <c r="BK225" s="146"/>
      <c r="BL225" s="147"/>
      <c r="BM225" s="148"/>
      <c r="BN225" s="147"/>
      <c r="BO225" s="148"/>
    </row>
    <row r="226" spans="63:67">
      <c r="BK226" s="146"/>
      <c r="BL226" s="147"/>
      <c r="BM226" s="148"/>
      <c r="BN226" s="147"/>
      <c r="BO226" s="148"/>
    </row>
    <row r="227" spans="63:67">
      <c r="BK227" s="146"/>
      <c r="BL227" s="147"/>
      <c r="BM227" s="148"/>
      <c r="BN227" s="147"/>
      <c r="BO227" s="148"/>
    </row>
    <row r="228" spans="63:67">
      <c r="BK228" s="146"/>
      <c r="BL228" s="147"/>
      <c r="BM228" s="148"/>
      <c r="BN228" s="147"/>
      <c r="BO228" s="148"/>
    </row>
    <row r="229" spans="63:67">
      <c r="BK229" s="146"/>
      <c r="BL229" s="147"/>
      <c r="BM229" s="148"/>
      <c r="BN229" s="147"/>
      <c r="BO229" s="148"/>
    </row>
    <row r="230" spans="63:67">
      <c r="BK230" s="146"/>
      <c r="BL230" s="147"/>
      <c r="BM230" s="148"/>
      <c r="BN230" s="147"/>
      <c r="BO230" s="148"/>
    </row>
    <row r="231" spans="63:67">
      <c r="BK231" s="146"/>
      <c r="BL231" s="147"/>
      <c r="BM231" s="148"/>
      <c r="BN231" s="147"/>
      <c r="BO231" s="148"/>
    </row>
    <row r="232" spans="63:67">
      <c r="BK232" s="146"/>
      <c r="BL232" s="147"/>
      <c r="BM232" s="148"/>
      <c r="BN232" s="147"/>
      <c r="BO232" s="148"/>
    </row>
    <row r="233" spans="63:67">
      <c r="BK233" s="146"/>
      <c r="BL233" s="147"/>
      <c r="BM233" s="148"/>
      <c r="BN233" s="147"/>
      <c r="BO233" s="148"/>
    </row>
    <row r="234" spans="63:67">
      <c r="BK234" s="146"/>
      <c r="BL234" s="147"/>
      <c r="BM234" s="148"/>
      <c r="BN234" s="147"/>
      <c r="BO234" s="148"/>
    </row>
    <row r="235" spans="63:67">
      <c r="BK235" s="146"/>
      <c r="BL235" s="147"/>
      <c r="BM235" s="148"/>
      <c r="BN235" s="147"/>
      <c r="BO235" s="148"/>
    </row>
    <row r="236" spans="63:67">
      <c r="BK236" s="146"/>
      <c r="BL236" s="147"/>
      <c r="BM236" s="148"/>
      <c r="BN236" s="147"/>
      <c r="BO236" s="148"/>
    </row>
    <row r="237" spans="63:67">
      <c r="BK237" s="146"/>
      <c r="BL237" s="147"/>
      <c r="BM237" s="148"/>
      <c r="BN237" s="147"/>
      <c r="BO237" s="148"/>
    </row>
    <row r="238" spans="63:67">
      <c r="BK238" s="146"/>
      <c r="BL238" s="147"/>
      <c r="BM238" s="148"/>
      <c r="BN238" s="147"/>
      <c r="BO238" s="148"/>
    </row>
    <row r="239" spans="63:67">
      <c r="BK239" s="146"/>
      <c r="BL239" s="147"/>
      <c r="BM239" s="148"/>
      <c r="BN239" s="147"/>
      <c r="BO239" s="148"/>
    </row>
    <row r="240" spans="63:67">
      <c r="BK240" s="146"/>
      <c r="BL240" s="147"/>
      <c r="BM240" s="148"/>
      <c r="BN240" s="147"/>
      <c r="BO240" s="148"/>
    </row>
    <row r="241" spans="63:67">
      <c r="BK241" s="146"/>
      <c r="BL241" s="147"/>
      <c r="BM241" s="148"/>
      <c r="BN241" s="147"/>
      <c r="BO241" s="148"/>
    </row>
    <row r="242" spans="63:67">
      <c r="BK242" s="146"/>
      <c r="BL242" s="147"/>
      <c r="BM242" s="148"/>
      <c r="BN242" s="147"/>
      <c r="BO242" s="148"/>
    </row>
    <row r="243" spans="63:67">
      <c r="BK243" s="146"/>
      <c r="BL243" s="147"/>
      <c r="BM243" s="148"/>
      <c r="BN243" s="147"/>
      <c r="BO243" s="148"/>
    </row>
    <row r="244" spans="63:67">
      <c r="BK244" s="146"/>
      <c r="BL244" s="147"/>
      <c r="BM244" s="148"/>
      <c r="BN244" s="147"/>
      <c r="BO244" s="148"/>
    </row>
    <row r="245" spans="63:67">
      <c r="BK245" s="146"/>
      <c r="BL245" s="147"/>
      <c r="BM245" s="148"/>
      <c r="BN245" s="147"/>
      <c r="BO245" s="148"/>
    </row>
    <row r="246" spans="63:67">
      <c r="BK246" s="146"/>
      <c r="BL246" s="147"/>
      <c r="BM246" s="148"/>
      <c r="BN246" s="147"/>
      <c r="BO246" s="148"/>
    </row>
    <row r="247" spans="63:67">
      <c r="BK247" s="146"/>
      <c r="BL247" s="147"/>
      <c r="BM247" s="148"/>
      <c r="BN247" s="147"/>
      <c r="BO247" s="148"/>
    </row>
    <row r="248" spans="63:67">
      <c r="BK248" s="146"/>
      <c r="BL248" s="147"/>
      <c r="BM248" s="148"/>
      <c r="BN248" s="147"/>
      <c r="BO248" s="148"/>
    </row>
    <row r="249" spans="63:67">
      <c r="BK249" s="146"/>
      <c r="BL249" s="147"/>
      <c r="BM249" s="148"/>
      <c r="BN249" s="147"/>
      <c r="BO249" s="148"/>
    </row>
    <row r="250" spans="63:67">
      <c r="BK250" s="149"/>
      <c r="BL250" s="150"/>
      <c r="BM250" s="151"/>
      <c r="BN250" s="150"/>
      <c r="BO250" s="151"/>
    </row>
  </sheetData>
  <sortState ref="BZ10:CS110">
    <sortCondition ref="BZ10"/>
  </sortState>
  <dataConsolidate/>
  <mergeCells count="32">
    <mergeCell ref="Q6:R6"/>
    <mergeCell ref="BB32:BD32"/>
    <mergeCell ref="BB31:BD31"/>
    <mergeCell ref="AR38:AT38"/>
    <mergeCell ref="AX27:AY27"/>
    <mergeCell ref="AR33:AT34"/>
    <mergeCell ref="AR25:AT26"/>
    <mergeCell ref="AT20:AT21"/>
    <mergeCell ref="AS20:AS21"/>
    <mergeCell ref="G40:I42"/>
    <mergeCell ref="DL6:DV6"/>
    <mergeCell ref="AX29:AY29"/>
    <mergeCell ref="DM18:DN18"/>
    <mergeCell ref="G10:I10"/>
    <mergeCell ref="G27:I27"/>
    <mergeCell ref="G28:I28"/>
    <mergeCell ref="G22:I22"/>
    <mergeCell ref="G23:I23"/>
    <mergeCell ref="G24:I24"/>
    <mergeCell ref="G26:I26"/>
    <mergeCell ref="G14:I16"/>
    <mergeCell ref="G20:I20"/>
    <mergeCell ref="G18:I18"/>
    <mergeCell ref="G12:I12"/>
    <mergeCell ref="BB27:BH30"/>
    <mergeCell ref="N6:O6"/>
    <mergeCell ref="ZQ9:ZZ9"/>
    <mergeCell ref="ZF9:ZO9"/>
    <mergeCell ref="BD22:BH23"/>
    <mergeCell ref="DJ11:DK11"/>
    <mergeCell ref="DJ18:DK18"/>
    <mergeCell ref="BD19:BH20"/>
  </mergeCells>
  <conditionalFormatting sqref="L10:V60">
    <cfRule type="expression" dxfId="173" priority="69">
      <formula>MOD(ROW(),2)</formula>
    </cfRule>
    <cfRule type="expression" dxfId="172" priority="70">
      <formula>$B$2=ROW()</formula>
    </cfRule>
  </conditionalFormatting>
  <conditionalFormatting sqref="CB10:CF110 BZ10:BZ110">
    <cfRule type="expression" dxfId="171" priority="41">
      <formula>MOD(ROW(),2)</formula>
    </cfRule>
  </conditionalFormatting>
  <conditionalFormatting sqref="CA10:CA110 CG10:CS110">
    <cfRule type="expression" dxfId="170" priority="38">
      <formula>MOD(ROW(),2)</formula>
    </cfRule>
  </conditionalFormatting>
  <conditionalFormatting sqref="V10:V60">
    <cfRule type="cellIs" dxfId="169" priority="21" operator="equal">
      <formula>"SHIPPED"</formula>
    </cfRule>
    <cfRule type="cellIs" dxfId="168" priority="29" operator="equal">
      <formula>"ON WAITING"</formula>
    </cfRule>
    <cfRule type="cellIs" dxfId="167" priority="30" operator="equal">
      <formula>"PREPARING"</formula>
    </cfRule>
    <cfRule type="cellIs" dxfId="166" priority="31" operator="equal">
      <formula>"DELIVERED"</formula>
    </cfRule>
  </conditionalFormatting>
  <conditionalFormatting sqref="T10:T60">
    <cfRule type="cellIs" dxfId="165" priority="26" operator="equal">
      <formula>FALSE</formula>
    </cfRule>
    <cfRule type="cellIs" dxfId="164" priority="27" operator="equal">
      <formula>TRUE</formula>
    </cfRule>
  </conditionalFormatting>
  <conditionalFormatting sqref="G20:I20 G22:I24 G26:I28 D21:D23">
    <cfRule type="cellIs" dxfId="163" priority="13" operator="equal">
      <formula>0</formula>
    </cfRule>
  </conditionalFormatting>
  <conditionalFormatting sqref="N10:N60">
    <cfRule type="cellIs" dxfId="162" priority="7" operator="equal">
      <formula>"SUPPLY"</formula>
    </cfRule>
    <cfRule type="cellIs" dxfId="161" priority="8" operator="equal">
      <formula>"SAMPLING"</formula>
    </cfRule>
    <cfRule type="cellIs" dxfId="160" priority="9" operator="equal">
      <formula>"SALE"</formula>
    </cfRule>
  </conditionalFormatting>
  <conditionalFormatting sqref="P10:Q60">
    <cfRule type="expression" dxfId="159" priority="4">
      <formula>"0"</formula>
    </cfRule>
  </conditionalFormatting>
  <conditionalFormatting sqref="D26:D29">
    <cfRule type="containsErrors" dxfId="158" priority="2">
      <formula>ISERROR(D26)</formula>
    </cfRule>
    <cfRule type="cellIs" dxfId="157" priority="3" operator="equal">
      <formula>0</formula>
    </cfRule>
  </conditionalFormatting>
  <dataValidations count="23">
    <dataValidation type="list" allowBlank="1" showInputMessage="1" showErrorMessage="1" sqref="Q6">
      <formula1>"Ascending,Descending"</formula1>
    </dataValidation>
    <dataValidation type="list" allowBlank="1" showInputMessage="1" showErrorMessage="1" sqref="N6">
      <formula1>$L$9:$V$9</formula1>
    </dataValidation>
    <dataValidation type="list" allowBlank="1" showInputMessage="1" showErrorMessage="1" sqref="CW35">
      <formula1>"CONSOLIDATO,PER CATEGORIA,PER SKU,PER SESSO"</formula1>
    </dataValidation>
    <dataValidation type="list" allowBlank="1" showInputMessage="1" showErrorMessage="1" sqref="CW36">
      <formula1>"80x120,100x120"</formula1>
    </dataValidation>
    <dataValidation type="list" allowBlank="1" showInputMessage="1" showErrorMessage="1" sqref="ZF9:ZO9 ZQ9:ZZ9">
      <formula1>"Z:\Stephane\Stephane Personale\Applicazioni Coppo\BHPC\CRM BHPC\,C:\Users\steph\OneDrive\Coppo1896\applicazioni\CRM BHPC\"</formula1>
    </dataValidation>
    <dataValidation type="list" allowBlank="1" showInputMessage="1" showErrorMessage="1" sqref="DL6:DV6">
      <formula1>"Z:\Stephane\Applicazioni Coppo\BHPC\CRM BHPC\docs\,C:\Users\steph\OneDrive\Coppo1896\applicazioni\CRM BHPC\docs\"</formula1>
    </dataValidation>
    <dataValidation type="list" allowBlank="1" showInputMessage="1" showErrorMessage="1" sqref="AT29">
      <formula1>"BY ROAD,BY SEA,BY AIR"</formula1>
    </dataValidation>
    <dataValidation type="list" allowBlank="1" showInputMessage="1" showErrorMessage="1" sqref="AX29:AY29">
      <formula1>$AR$51:$AR$59</formula1>
    </dataValidation>
    <dataValidation type="list" allowBlank="1" showInputMessage="1" showErrorMessage="1" sqref="AR13">
      <formula1>"EUR,USD,GBP"</formula1>
    </dataValidation>
    <dataValidation type="list" allowBlank="1" showInputMessage="1" showErrorMessage="1" sqref="AR28">
      <formula1>"80x120,100x120,NO PALLET"</formula1>
    </dataValidation>
    <dataValidation type="list" allowBlank="1" showInputMessage="1" showErrorMessage="1" sqref="D11">
      <formula1>"ON WAITING,PREPARING,SHIPPED"</formula1>
    </dataValidation>
    <dataValidation type="list" allowBlank="1" showInputMessage="1" showErrorMessage="1" sqref="AX32 AT39 AT14">
      <formula1>"VERO,FALSO"</formula1>
    </dataValidation>
    <dataValidation type="list" allowBlank="1" showInputMessage="1" showErrorMessage="1" sqref="AZ7">
      <formula1>$AW$49:$BH$49</formula1>
    </dataValidation>
    <dataValidation type="list" allowBlank="1" showInputMessage="1" showErrorMessage="1" sqref="P5">
      <formula1>yearSelDist</formula1>
    </dataValidation>
    <dataValidation type="list" allowBlank="1" showInputMessage="1" showErrorMessage="1" sqref="D9">
      <formula1>clientName</formula1>
    </dataValidation>
    <dataValidation type="list" allowBlank="1" showInputMessage="1" showErrorMessage="1" sqref="AT13">
      <formula1>"SALE,SAMPLE,SUPPLY"</formula1>
    </dataValidation>
    <dataValidation type="list" allowBlank="1" showInputMessage="1" showErrorMessage="1" sqref="AT18">
      <formula1>"IN ADVANCE,30 DAYS FROM INVOICE,60 DAYS FROM INVOICE"</formula1>
    </dataValidation>
    <dataValidation type="list" allowBlank="1" showInputMessage="1" showErrorMessage="1" sqref="D13">
      <formula1>"SALE,SUPPLY,SAMPLING"</formula1>
    </dataValidation>
    <dataValidation type="list" allowBlank="1" showInputMessage="1" showErrorMessage="1" sqref="EC15">
      <formula1>"50,100,150,175,200,300"</formula1>
    </dataValidation>
    <dataValidation type="list" allowBlank="1" showInputMessage="1" showErrorMessage="1" sqref="EC13">
      <formula1>"MAN,WOMAN"</formula1>
    </dataValidation>
    <dataValidation type="list" allowBlank="1" showInputMessage="1" showErrorMessage="1" sqref="EC11">
      <formula1>"MASTIGE,PRESTIGE,DEODORANT,GIFTSET,TESTER"</formula1>
    </dataValidation>
    <dataValidation type="list" allowBlank="1" showInputMessage="1" showErrorMessage="1" sqref="AX27:AY27">
      <formula1>"ON WAITING, PREPARING,SHIPPED"</formula1>
    </dataValidation>
    <dataValidation type="list" allowBlank="1" showInputMessage="1" showErrorMessage="1" sqref="D15">
      <formula1>"2023,2024,2025"</formula1>
    </dataValidation>
  </dataValidations>
  <pageMargins left="0.7" right="0.7" top="0.75" bottom="0.75" header="0.3" footer="0.3"/>
  <pageSetup paperSize="9" orientation="portrait" r:id="rId3"/>
  <drawing r:id="rId4"/>
  <legacyDrawing r:id="rId5"/>
  <tableParts count="1">
    <tablePart r:id="rId6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Foglio12"/>
  <dimension ref="A1:R22"/>
  <sheetViews>
    <sheetView workbookViewId="0">
      <selection activeCell="B11" sqref="B11"/>
    </sheetView>
  </sheetViews>
  <sheetFormatPr defaultRowHeight="15"/>
  <cols>
    <col min="1" max="1" width="18.28515625" customWidth="1"/>
    <col min="2" max="2" width="14.5703125" customWidth="1"/>
    <col min="3" max="3" width="25.7109375" bestFit="1" customWidth="1"/>
    <col min="4" max="7" width="19.42578125" customWidth="1"/>
    <col min="8" max="8" width="6.28515625" customWidth="1"/>
    <col min="9" max="9" width="19.5703125" customWidth="1"/>
    <col min="10" max="10" width="13.7109375" bestFit="1" customWidth="1"/>
    <col min="11" max="11" width="25.7109375" bestFit="1" customWidth="1"/>
    <col min="12" max="12" width="16" bestFit="1" customWidth="1"/>
    <col min="13" max="13" width="20.140625" bestFit="1" customWidth="1"/>
    <col min="14" max="14" width="6.28515625" customWidth="1"/>
    <col min="15" max="15" width="19.5703125" customWidth="1"/>
    <col min="16" max="16" width="13.7109375" customWidth="1"/>
    <col min="17" max="17" width="13.85546875" customWidth="1"/>
    <col min="18" max="18" width="17.5703125" style="426" customWidth="1"/>
  </cols>
  <sheetData>
    <row r="1" spans="1:18">
      <c r="A1" s="95" t="s">
        <v>890</v>
      </c>
      <c r="B1" t="s">
        <v>857</v>
      </c>
      <c r="I1" s="95" t="s">
        <v>890</v>
      </c>
      <c r="J1" t="s">
        <v>1008</v>
      </c>
    </row>
    <row r="2" spans="1:18">
      <c r="A2" s="95" t="s">
        <v>447</v>
      </c>
      <c r="B2" t="s">
        <v>470</v>
      </c>
      <c r="I2" s="95" t="s">
        <v>447</v>
      </c>
      <c r="J2" t="s">
        <v>1094</v>
      </c>
      <c r="O2" s="95" t="s">
        <v>890</v>
      </c>
      <c r="P2" t="s">
        <v>1002</v>
      </c>
    </row>
    <row r="3" spans="1:18">
      <c r="A3" s="984" t="s">
        <v>1115</v>
      </c>
      <c r="B3" s="984"/>
      <c r="C3" s="984"/>
      <c r="D3" s="984"/>
      <c r="E3" s="984"/>
      <c r="F3" s="984"/>
      <c r="G3" s="984"/>
      <c r="I3" s="984" t="s">
        <v>1114</v>
      </c>
      <c r="J3" s="984"/>
      <c r="K3" s="984"/>
      <c r="L3" s="984"/>
      <c r="M3" s="984"/>
      <c r="O3" s="95" t="s">
        <v>447</v>
      </c>
      <c r="P3" t="s">
        <v>1094</v>
      </c>
    </row>
    <row r="4" spans="1:18" s="430" customFormat="1">
      <c r="A4"/>
      <c r="B4"/>
      <c r="C4"/>
      <c r="D4" s="95" t="s">
        <v>745</v>
      </c>
      <c r="E4"/>
      <c r="F4"/>
      <c r="G4"/>
      <c r="I4"/>
      <c r="J4"/>
      <c r="K4"/>
      <c r="L4" s="95" t="s">
        <v>745</v>
      </c>
      <c r="M4"/>
      <c r="O4" s="985" t="s">
        <v>1116</v>
      </c>
      <c r="P4" s="985"/>
      <c r="Q4" s="985"/>
      <c r="R4" s="985"/>
    </row>
    <row r="5" spans="1:18" s="17" customFormat="1" ht="30">
      <c r="A5" s="429" t="s">
        <v>746</v>
      </c>
      <c r="B5" s="429" t="s">
        <v>426</v>
      </c>
      <c r="C5" s="429" t="s">
        <v>436</v>
      </c>
      <c r="D5" s="430" t="s">
        <v>1095</v>
      </c>
      <c r="E5" s="430" t="s">
        <v>1096</v>
      </c>
      <c r="F5" s="430" t="s">
        <v>1097</v>
      </c>
      <c r="G5" s="430" t="s">
        <v>1098</v>
      </c>
      <c r="I5" s="428" t="s">
        <v>746</v>
      </c>
      <c r="J5" s="428" t="s">
        <v>426</v>
      </c>
      <c r="K5" s="428" t="s">
        <v>436</v>
      </c>
      <c r="L5" s="432" t="s">
        <v>1099</v>
      </c>
      <c r="M5" s="432" t="s">
        <v>1100</v>
      </c>
      <c r="O5" s="428" t="s">
        <v>746</v>
      </c>
      <c r="P5" s="428" t="s">
        <v>426</v>
      </c>
      <c r="Q5" s="428" t="s">
        <v>436</v>
      </c>
      <c r="R5" s="432" t="s">
        <v>1099</v>
      </c>
    </row>
    <row r="6" spans="1:18">
      <c r="A6" s="425">
        <v>45390</v>
      </c>
      <c r="B6" s="17">
        <v>24</v>
      </c>
      <c r="C6" s="74" t="s">
        <v>917</v>
      </c>
      <c r="D6" s="446">
        <v>67500</v>
      </c>
      <c r="E6" s="446">
        <v>22500</v>
      </c>
      <c r="F6" s="446">
        <v>4725</v>
      </c>
      <c r="G6" s="446">
        <v>-17775</v>
      </c>
      <c r="I6" s="425">
        <v>45352</v>
      </c>
      <c r="J6" s="17">
        <v>20</v>
      </c>
      <c r="K6" s="74" t="s">
        <v>855</v>
      </c>
      <c r="L6" s="427">
        <v>181.2</v>
      </c>
      <c r="M6" s="427">
        <v>49</v>
      </c>
      <c r="O6" s="425">
        <v>45327</v>
      </c>
      <c r="P6" s="17">
        <v>18</v>
      </c>
      <c r="Q6" s="17" t="s">
        <v>940</v>
      </c>
      <c r="R6" s="426">
        <v>142668.82999999999</v>
      </c>
    </row>
    <row r="7" spans="1:18">
      <c r="A7" s="425">
        <v>45379</v>
      </c>
      <c r="B7" s="17">
        <v>27</v>
      </c>
      <c r="C7" s="74" t="s">
        <v>247</v>
      </c>
      <c r="D7" s="446">
        <v>91392</v>
      </c>
      <c r="E7" s="446">
        <v>6397.44</v>
      </c>
      <c r="F7" s="446">
        <v>6397.4400000000005</v>
      </c>
      <c r="G7" s="446">
        <v>0</v>
      </c>
      <c r="I7" s="425">
        <v>45369</v>
      </c>
      <c r="J7" s="17">
        <v>21</v>
      </c>
      <c r="K7" s="74" t="s">
        <v>310</v>
      </c>
      <c r="L7" s="427"/>
      <c r="M7" s="427">
        <v>36.89</v>
      </c>
      <c r="O7" s="425">
        <v>45343</v>
      </c>
      <c r="P7" s="17">
        <v>19</v>
      </c>
      <c r="Q7" s="17" t="s">
        <v>940</v>
      </c>
      <c r="R7" s="426">
        <v>64745</v>
      </c>
    </row>
    <row r="8" spans="1:18">
      <c r="A8" s="425">
        <v>45373</v>
      </c>
      <c r="B8" s="17">
        <v>26</v>
      </c>
      <c r="C8" s="74" t="s">
        <v>247</v>
      </c>
      <c r="D8" s="446">
        <v>47915.519999999997</v>
      </c>
      <c r="E8" s="446">
        <v>-3325.44</v>
      </c>
      <c r="F8" s="446">
        <v>3354.0864000000001</v>
      </c>
      <c r="G8" s="446">
        <v>6679.5264000000006</v>
      </c>
      <c r="J8" s="17">
        <v>22</v>
      </c>
      <c r="K8" s="74" t="s">
        <v>383</v>
      </c>
      <c r="L8" s="427">
        <v>350.4</v>
      </c>
      <c r="M8" s="427">
        <v>160</v>
      </c>
      <c r="O8" s="425">
        <v>45376</v>
      </c>
      <c r="P8" s="74">
        <v>28</v>
      </c>
      <c r="Q8" s="74" t="s">
        <v>940</v>
      </c>
      <c r="R8" s="426">
        <v>232815.57</v>
      </c>
    </row>
    <row r="9" spans="1:18">
      <c r="A9" s="425">
        <v>45364</v>
      </c>
      <c r="B9" s="17">
        <v>17</v>
      </c>
      <c r="C9" s="74" t="s">
        <v>949</v>
      </c>
      <c r="D9" s="426">
        <v>72576</v>
      </c>
      <c r="E9" s="426">
        <v>6096</v>
      </c>
      <c r="F9" s="426">
        <v>5080.3200000000006</v>
      </c>
      <c r="G9" s="426">
        <v>-1015.6799999999994</v>
      </c>
      <c r="I9" s="425" t="s">
        <v>747</v>
      </c>
      <c r="L9" s="427">
        <v>531.59999999999991</v>
      </c>
      <c r="M9" s="427">
        <v>245.89</v>
      </c>
      <c r="O9" s="425" t="s">
        <v>747</v>
      </c>
      <c r="R9" s="426">
        <v>440229.4</v>
      </c>
    </row>
    <row r="10" spans="1:18">
      <c r="A10" s="425">
        <v>45358</v>
      </c>
      <c r="B10" s="17">
        <v>14</v>
      </c>
      <c r="C10" s="74" t="s">
        <v>945</v>
      </c>
      <c r="D10" s="426">
        <v>20250</v>
      </c>
      <c r="E10" s="426">
        <v>2730</v>
      </c>
      <c r="F10" s="426">
        <v>1417.5000000000002</v>
      </c>
      <c r="G10" s="426">
        <v>-1312.4999999999998</v>
      </c>
    </row>
    <row r="11" spans="1:18">
      <c r="A11" s="425">
        <v>45355</v>
      </c>
      <c r="B11" s="17">
        <v>12</v>
      </c>
      <c r="C11" s="74" t="s">
        <v>354</v>
      </c>
      <c r="D11" s="426">
        <v>22200</v>
      </c>
      <c r="E11" s="426">
        <v>-1558.07</v>
      </c>
      <c r="F11" s="426">
        <v>1554.0000000000002</v>
      </c>
      <c r="G11" s="426">
        <v>3112.07</v>
      </c>
    </row>
    <row r="12" spans="1:18">
      <c r="A12" s="425">
        <v>45352</v>
      </c>
      <c r="B12" s="17">
        <v>11</v>
      </c>
      <c r="C12" s="74" t="s">
        <v>247</v>
      </c>
      <c r="D12" s="446">
        <v>7094.64</v>
      </c>
      <c r="E12" s="446">
        <v>1474.03</v>
      </c>
      <c r="F12" s="446">
        <v>496.62480000000005</v>
      </c>
      <c r="G12" s="446">
        <v>-977.40519999999992</v>
      </c>
    </row>
    <row r="13" spans="1:18">
      <c r="A13" s="425">
        <v>45344</v>
      </c>
      <c r="B13" s="17">
        <v>8</v>
      </c>
      <c r="C13" s="74" t="s">
        <v>344</v>
      </c>
      <c r="D13" s="426">
        <v>3495.96</v>
      </c>
      <c r="E13" s="426">
        <v>421.08</v>
      </c>
      <c r="F13" s="426">
        <v>244.71720000000002</v>
      </c>
      <c r="G13" s="426">
        <v>-176.36279999999996</v>
      </c>
    </row>
    <row r="14" spans="1:18">
      <c r="A14" s="425">
        <v>45343</v>
      </c>
      <c r="B14" s="17">
        <v>7</v>
      </c>
      <c r="C14" s="74" t="s">
        <v>922</v>
      </c>
      <c r="D14" s="426">
        <v>13787.5</v>
      </c>
      <c r="E14" s="426">
        <v>-4116.38</v>
      </c>
      <c r="F14" s="426">
        <v>965.12500000000011</v>
      </c>
      <c r="G14" s="426">
        <v>5081.5050000000001</v>
      </c>
    </row>
    <row r="15" spans="1:18">
      <c r="A15" s="425">
        <v>45342</v>
      </c>
      <c r="B15" s="17">
        <v>6</v>
      </c>
      <c r="C15" s="74" t="s">
        <v>387</v>
      </c>
      <c r="D15" s="426">
        <v>11880</v>
      </c>
      <c r="E15" s="426">
        <v>-1320</v>
      </c>
      <c r="F15" s="426">
        <v>831.6</v>
      </c>
      <c r="G15" s="426">
        <v>2151.6</v>
      </c>
    </row>
    <row r="16" spans="1:18">
      <c r="A16" s="425">
        <v>45335</v>
      </c>
      <c r="B16" s="17">
        <v>5</v>
      </c>
      <c r="C16" s="74" t="s">
        <v>917</v>
      </c>
      <c r="D16" s="426">
        <v>79200</v>
      </c>
      <c r="E16" s="426">
        <v>4447.68</v>
      </c>
      <c r="F16" s="426">
        <v>5544.0000000000009</v>
      </c>
      <c r="G16" s="426">
        <v>1096.3200000000006</v>
      </c>
    </row>
    <row r="17" spans="1:7">
      <c r="A17" s="425">
        <v>45328</v>
      </c>
      <c r="B17" s="17">
        <v>9</v>
      </c>
      <c r="C17" s="74" t="s">
        <v>795</v>
      </c>
      <c r="D17" s="426">
        <v>28778.48</v>
      </c>
      <c r="E17" s="426">
        <v>9261.92</v>
      </c>
      <c r="F17" s="426">
        <v>2014.4936000000002</v>
      </c>
      <c r="G17" s="426">
        <v>-7247.4264000000003</v>
      </c>
    </row>
    <row r="18" spans="1:7">
      <c r="A18" s="425">
        <v>45300</v>
      </c>
      <c r="B18" s="17">
        <v>3</v>
      </c>
      <c r="C18" s="74" t="s">
        <v>375</v>
      </c>
      <c r="D18" s="426">
        <v>53721.599999999999</v>
      </c>
      <c r="E18" s="426">
        <v>3264</v>
      </c>
      <c r="F18" s="426">
        <v>3760.5120000000002</v>
      </c>
      <c r="G18" s="426">
        <v>496.51200000000017</v>
      </c>
    </row>
    <row r="19" spans="1:7">
      <c r="B19" s="17">
        <v>4</v>
      </c>
      <c r="C19" s="74" t="s">
        <v>354</v>
      </c>
      <c r="D19" s="426">
        <v>51000</v>
      </c>
      <c r="E19" s="426">
        <v>6000</v>
      </c>
      <c r="F19" s="426">
        <v>3570.0000000000005</v>
      </c>
      <c r="G19" s="426">
        <v>-2429.9999999999995</v>
      </c>
    </row>
    <row r="20" spans="1:7">
      <c r="A20" s="425">
        <v>45299</v>
      </c>
      <c r="B20" s="17">
        <v>2</v>
      </c>
      <c r="C20" s="74" t="s">
        <v>247</v>
      </c>
      <c r="D20" s="426">
        <v>83692.800000000003</v>
      </c>
      <c r="E20" s="426">
        <v>7072</v>
      </c>
      <c r="F20" s="426">
        <v>5858.496000000001</v>
      </c>
      <c r="G20" s="426">
        <v>-1213.503999999999</v>
      </c>
    </row>
    <row r="21" spans="1:7">
      <c r="B21" s="17">
        <v>10</v>
      </c>
      <c r="C21" s="74" t="s">
        <v>388</v>
      </c>
      <c r="D21" s="426">
        <v>5252.8</v>
      </c>
      <c r="E21" s="426">
        <v>3617.8</v>
      </c>
      <c r="F21" s="426">
        <v>367.69600000000003</v>
      </c>
      <c r="G21" s="426">
        <v>-3250.1040000000003</v>
      </c>
    </row>
    <row r="22" spans="1:7">
      <c r="A22" s="425" t="s">
        <v>747</v>
      </c>
      <c r="D22" s="427">
        <v>659737.30000000005</v>
      </c>
      <c r="E22" s="427">
        <v>62962.06</v>
      </c>
      <c r="F22" s="427">
        <v>46181.611000000004</v>
      </c>
      <c r="G22" s="427">
        <v>-16780.448999999993</v>
      </c>
    </row>
  </sheetData>
  <mergeCells count="3">
    <mergeCell ref="A3:G3"/>
    <mergeCell ref="I3:M3"/>
    <mergeCell ref="O4:R4"/>
  </mergeCells>
  <pageMargins left="0.7" right="0.7" top="0.75" bottom="0.75" header="0.3" footer="0.3"/>
  <pageSetup paperSize="9" orientation="portrait" r:id="rId4"/>
</worksheet>
</file>

<file path=xl/worksheets/sheet19.xml><?xml version="1.0" encoding="utf-8"?>
<worksheet xmlns="http://schemas.openxmlformats.org/spreadsheetml/2006/main" xmlns:r="http://schemas.openxmlformats.org/officeDocument/2006/relationships">
  <sheetPr codeName="Foglio13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Foglio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Foglio3"/>
  <dimension ref="A1:E8"/>
  <sheetViews>
    <sheetView workbookViewId="0">
      <selection activeCell="B11" sqref="B11"/>
    </sheetView>
  </sheetViews>
  <sheetFormatPr defaultRowHeight="15"/>
  <cols>
    <col min="1" max="1" width="18.28515625" customWidth="1"/>
    <col min="2" max="2" width="25.7109375" bestFit="1" customWidth="1"/>
    <col min="3" max="3" width="13.7109375" customWidth="1"/>
    <col min="4" max="4" width="14.140625" bestFit="1" customWidth="1"/>
    <col min="5" max="5" width="19.5703125" bestFit="1" customWidth="1"/>
  </cols>
  <sheetData>
    <row r="1" spans="1:5">
      <c r="A1" s="95" t="s">
        <v>890</v>
      </c>
      <c r="B1" s="17" t="s">
        <v>857</v>
      </c>
    </row>
    <row r="2" spans="1:5">
      <c r="A2" s="95" t="s">
        <v>447</v>
      </c>
      <c r="B2" s="17" t="s">
        <v>470</v>
      </c>
    </row>
    <row r="4" spans="1:5">
      <c r="C4" s="95" t="s">
        <v>745</v>
      </c>
    </row>
    <row r="5" spans="1:5">
      <c r="A5" s="95" t="s">
        <v>746</v>
      </c>
      <c r="B5" s="95" t="s">
        <v>436</v>
      </c>
      <c r="C5" s="17" t="s">
        <v>1101</v>
      </c>
      <c r="D5" s="432" t="s">
        <v>1102</v>
      </c>
      <c r="E5" s="427" t="s">
        <v>1103</v>
      </c>
    </row>
    <row r="6" spans="1:5">
      <c r="A6" s="74">
        <v>6</v>
      </c>
      <c r="B6" s="74" t="s">
        <v>354</v>
      </c>
      <c r="C6" s="431">
        <v>80</v>
      </c>
      <c r="D6" s="432">
        <v>22</v>
      </c>
      <c r="E6" s="427">
        <v>1760</v>
      </c>
    </row>
    <row r="7" spans="1:5">
      <c r="A7" s="74">
        <v>41</v>
      </c>
      <c r="B7" s="74" t="s">
        <v>917</v>
      </c>
      <c r="C7" s="431">
        <v>32</v>
      </c>
      <c r="D7" s="432">
        <v>22</v>
      </c>
      <c r="E7" s="427">
        <v>704</v>
      </c>
    </row>
    <row r="8" spans="1:5">
      <c r="A8" s="74">
        <v>56</v>
      </c>
      <c r="B8" s="74" t="s">
        <v>388</v>
      </c>
      <c r="C8" s="431">
        <v>20</v>
      </c>
      <c r="D8" s="432">
        <v>23</v>
      </c>
      <c r="E8" s="427">
        <v>460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Foglio7"/>
  <dimension ref="A1:L27"/>
  <sheetViews>
    <sheetView workbookViewId="0">
      <selection activeCell="B11" sqref="B11"/>
    </sheetView>
  </sheetViews>
  <sheetFormatPr defaultRowHeight="15"/>
  <cols>
    <col min="1" max="1" width="18.28515625" customWidth="1"/>
    <col min="2" max="2" width="20.5703125" bestFit="1" customWidth="1"/>
    <col min="3" max="3" width="25.7109375" customWidth="1"/>
    <col min="4" max="5" width="13.85546875" customWidth="1"/>
    <col min="6" max="6" width="17.28515625" customWidth="1"/>
    <col min="7" max="7" width="6.28515625" customWidth="1"/>
    <col min="8" max="8" width="19.5703125" customWidth="1"/>
    <col min="9" max="9" width="17.42578125" customWidth="1"/>
    <col min="10" max="10" width="16" customWidth="1"/>
    <col min="11" max="12" width="17.42578125" bestFit="1" customWidth="1"/>
  </cols>
  <sheetData>
    <row r="1" spans="1:12">
      <c r="A1" s="95" t="s">
        <v>890</v>
      </c>
      <c r="B1" t="s">
        <v>857</v>
      </c>
    </row>
    <row r="2" spans="1:12">
      <c r="A2" s="95" t="s">
        <v>439</v>
      </c>
      <c r="B2" t="s">
        <v>1094</v>
      </c>
    </row>
    <row r="3" spans="1:12">
      <c r="A3" s="95" t="s">
        <v>447</v>
      </c>
      <c r="B3" t="s">
        <v>1106</v>
      </c>
      <c r="H3" s="95" t="s">
        <v>890</v>
      </c>
      <c r="I3" t="s">
        <v>1002</v>
      </c>
    </row>
    <row r="4" spans="1:12">
      <c r="A4" s="984" t="s">
        <v>1108</v>
      </c>
      <c r="B4" s="984"/>
      <c r="C4" s="984"/>
      <c r="D4" s="984"/>
      <c r="E4" s="984"/>
      <c r="F4" s="984"/>
      <c r="H4" s="984" t="s">
        <v>1113</v>
      </c>
      <c r="I4" s="984"/>
      <c r="J4" s="984"/>
      <c r="K4" s="984"/>
      <c r="L4" s="984"/>
    </row>
    <row r="5" spans="1:12" s="430" customFormat="1">
      <c r="A5"/>
      <c r="B5"/>
      <c r="C5"/>
      <c r="D5" s="95" t="s">
        <v>745</v>
      </c>
      <c r="E5"/>
      <c r="F5"/>
      <c r="H5"/>
      <c r="I5"/>
      <c r="J5"/>
      <c r="K5" s="95" t="s">
        <v>745</v>
      </c>
      <c r="L5"/>
    </row>
    <row r="6" spans="1:12" s="17" customFormat="1" ht="45">
      <c r="A6" s="428" t="s">
        <v>746</v>
      </c>
      <c r="B6" s="428" t="s">
        <v>1110</v>
      </c>
      <c r="C6" s="429" t="s">
        <v>1109</v>
      </c>
      <c r="D6" s="430" t="s">
        <v>1104</v>
      </c>
      <c r="E6" s="433" t="s">
        <v>1107</v>
      </c>
      <c r="F6" s="433" t="s">
        <v>1105</v>
      </c>
      <c r="H6" s="428" t="s">
        <v>746</v>
      </c>
      <c r="I6" s="428" t="s">
        <v>1110</v>
      </c>
      <c r="J6" s="428" t="s">
        <v>1112</v>
      </c>
      <c r="K6" s="17" t="s">
        <v>1111</v>
      </c>
      <c r="L6" s="433" t="s">
        <v>1105</v>
      </c>
    </row>
    <row r="7" spans="1:12">
      <c r="A7" s="435">
        <v>0</v>
      </c>
      <c r="B7" s="1">
        <v>0</v>
      </c>
      <c r="C7" t="s">
        <v>945</v>
      </c>
      <c r="D7" s="431">
        <v>7</v>
      </c>
      <c r="E7" s="427">
        <v>70</v>
      </c>
      <c r="F7" s="427">
        <v>28</v>
      </c>
      <c r="H7" s="425">
        <v>45327</v>
      </c>
      <c r="I7" s="17">
        <v>12408</v>
      </c>
      <c r="J7" s="17" t="s">
        <v>940</v>
      </c>
      <c r="K7" s="431">
        <v>18</v>
      </c>
      <c r="L7" s="427">
        <v>72</v>
      </c>
    </row>
    <row r="8" spans="1:12">
      <c r="A8" s="434">
        <v>45299</v>
      </c>
      <c r="B8" s="1">
        <v>3</v>
      </c>
      <c r="C8" t="s">
        <v>247</v>
      </c>
      <c r="D8" s="431">
        <v>4</v>
      </c>
      <c r="E8" s="427">
        <v>40</v>
      </c>
      <c r="F8" s="427">
        <v>16</v>
      </c>
      <c r="H8" s="425">
        <v>45343</v>
      </c>
      <c r="I8" s="17">
        <v>823168</v>
      </c>
      <c r="J8" s="17" t="s">
        <v>940</v>
      </c>
      <c r="K8" s="431">
        <v>13</v>
      </c>
      <c r="L8" s="427">
        <v>52</v>
      </c>
    </row>
    <row r="9" spans="1:12">
      <c r="A9" s="434">
        <v>45300</v>
      </c>
      <c r="B9" s="1">
        <v>5</v>
      </c>
      <c r="C9" t="s">
        <v>375</v>
      </c>
      <c r="D9" s="431">
        <v>3</v>
      </c>
      <c r="E9" s="427">
        <v>30</v>
      </c>
      <c r="F9" s="427">
        <v>12</v>
      </c>
      <c r="H9" s="425">
        <v>45376</v>
      </c>
      <c r="I9" s="74">
        <v>0</v>
      </c>
      <c r="J9" s="74" t="s">
        <v>940</v>
      </c>
      <c r="K9" s="431">
        <v>23</v>
      </c>
      <c r="L9" s="427">
        <v>92</v>
      </c>
    </row>
    <row r="10" spans="1:12">
      <c r="A10" s="94"/>
      <c r="B10" s="1">
        <v>6</v>
      </c>
      <c r="C10" t="s">
        <v>354</v>
      </c>
      <c r="D10" s="431">
        <v>7</v>
      </c>
      <c r="E10" s="427">
        <v>70</v>
      </c>
      <c r="F10" s="427">
        <v>28</v>
      </c>
    </row>
    <row r="11" spans="1:12">
      <c r="A11" s="94"/>
    </row>
    <row r="12" spans="1:12">
      <c r="A12" s="94"/>
    </row>
    <row r="13" spans="1:12">
      <c r="A13" s="94"/>
    </row>
    <row r="14" spans="1:12">
      <c r="A14" s="94"/>
    </row>
    <row r="15" spans="1:12">
      <c r="A15" s="94"/>
    </row>
    <row r="16" spans="1:12">
      <c r="A16" s="94"/>
    </row>
    <row r="17" spans="1:1">
      <c r="A17" s="94"/>
    </row>
    <row r="18" spans="1:1">
      <c r="A18" s="94"/>
    </row>
    <row r="19" spans="1:1">
      <c r="A19" s="94"/>
    </row>
    <row r="20" spans="1:1">
      <c r="A20" s="94"/>
    </row>
    <row r="21" spans="1:1">
      <c r="A21" s="94"/>
    </row>
    <row r="22" spans="1:1">
      <c r="A22" s="94"/>
    </row>
    <row r="23" spans="1:1">
      <c r="A23" s="94"/>
    </row>
    <row r="24" spans="1:1">
      <c r="A24" s="94"/>
    </row>
    <row r="25" spans="1:1">
      <c r="A25" s="94"/>
    </row>
    <row r="26" spans="1:1">
      <c r="A26" s="94"/>
    </row>
    <row r="27" spans="1:1">
      <c r="A27" s="94"/>
    </row>
  </sheetData>
  <mergeCells count="2">
    <mergeCell ref="A4:F4"/>
    <mergeCell ref="H4:L4"/>
  </mergeCells>
  <pageMargins left="0.7" right="0.7" top="0.75" bottom="0.75" header="0.3" footer="0.3"/>
  <pageSetup paperSize="9" orientation="portrait" r:id="rId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Foglio20"/>
  <dimension ref="A1"/>
  <sheetViews>
    <sheetView workbookViewId="0">
      <selection activeCell="B11" sqref="B11"/>
    </sheetView>
  </sheetViews>
  <sheetFormatPr defaultRowHeight="1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Foglio21"/>
  <dimension ref="A1:E22"/>
  <sheetViews>
    <sheetView workbookViewId="0">
      <selection activeCell="B48" sqref="B48"/>
    </sheetView>
  </sheetViews>
  <sheetFormatPr defaultRowHeight="15"/>
  <cols>
    <col min="1" max="1" width="28.7109375" bestFit="1" customWidth="1"/>
    <col min="2" max="2" width="13.140625" customWidth="1"/>
    <col min="3" max="3" width="19.140625" style="550" customWidth="1"/>
    <col min="4" max="5" width="19.140625" customWidth="1"/>
  </cols>
  <sheetData>
    <row r="1" spans="1:5">
      <c r="A1" s="95" t="s">
        <v>447</v>
      </c>
      <c r="B1" t="s">
        <v>470</v>
      </c>
    </row>
    <row r="2" spans="1:5">
      <c r="A2" s="95" t="s">
        <v>890</v>
      </c>
      <c r="B2" t="s">
        <v>857</v>
      </c>
    </row>
    <row r="3" spans="1:5">
      <c r="A3" s="95" t="s">
        <v>453</v>
      </c>
      <c r="B3" t="s">
        <v>1094</v>
      </c>
    </row>
    <row r="4" spans="1:5">
      <c r="C4"/>
    </row>
    <row r="5" spans="1:5">
      <c r="C5" s="95" t="s">
        <v>745</v>
      </c>
    </row>
    <row r="6" spans="1:5">
      <c r="A6" s="95" t="s">
        <v>746</v>
      </c>
      <c r="B6" s="95" t="s">
        <v>435</v>
      </c>
      <c r="C6" s="17" t="s">
        <v>1149</v>
      </c>
      <c r="D6" s="17" t="s">
        <v>1150</v>
      </c>
      <c r="E6" s="17" t="s">
        <v>1097</v>
      </c>
    </row>
    <row r="7" spans="1:5">
      <c r="A7" s="74" t="s">
        <v>247</v>
      </c>
      <c r="C7" s="427">
        <v>230094.96</v>
      </c>
      <c r="D7" s="427">
        <v>620</v>
      </c>
      <c r="E7" s="427">
        <v>16106.647200000001</v>
      </c>
    </row>
    <row r="8" spans="1:5">
      <c r="A8" s="74" t="s">
        <v>945</v>
      </c>
      <c r="C8" s="427">
        <v>20250</v>
      </c>
      <c r="D8" s="427">
        <v>0</v>
      </c>
      <c r="E8" s="427">
        <v>1417.5000000000002</v>
      </c>
    </row>
    <row r="9" spans="1:5">
      <c r="A9" s="74" t="s">
        <v>344</v>
      </c>
      <c r="C9" s="427">
        <v>3495.96</v>
      </c>
      <c r="D9" s="427">
        <v>0</v>
      </c>
      <c r="E9" s="427">
        <v>244.71720000000002</v>
      </c>
    </row>
    <row r="10" spans="1:5">
      <c r="A10" s="74" t="s">
        <v>354</v>
      </c>
      <c r="C10" s="427">
        <v>73200</v>
      </c>
      <c r="D10" s="427">
        <v>1540</v>
      </c>
      <c r="E10" s="427">
        <v>5124.0000000000009</v>
      </c>
    </row>
    <row r="11" spans="1:5">
      <c r="A11" s="74" t="s">
        <v>795</v>
      </c>
      <c r="C11" s="427">
        <v>28778.48</v>
      </c>
      <c r="D11" s="427">
        <v>0</v>
      </c>
      <c r="E11" s="427">
        <v>2014.4936000000002</v>
      </c>
    </row>
    <row r="12" spans="1:5">
      <c r="A12" s="74" t="s">
        <v>375</v>
      </c>
      <c r="C12" s="427">
        <v>53721.599999999999</v>
      </c>
      <c r="D12" s="427">
        <v>0</v>
      </c>
      <c r="E12" s="427">
        <v>3760.5120000000002</v>
      </c>
    </row>
    <row r="13" spans="1:5">
      <c r="A13" s="74" t="s">
        <v>922</v>
      </c>
      <c r="C13" s="427">
        <v>13787.5</v>
      </c>
      <c r="D13" s="427">
        <v>480</v>
      </c>
      <c r="E13" s="427">
        <v>965.12500000000011</v>
      </c>
    </row>
    <row r="14" spans="1:5">
      <c r="A14" s="74" t="s">
        <v>917</v>
      </c>
      <c r="C14" s="427">
        <v>146700</v>
      </c>
      <c r="D14" s="427">
        <v>2400</v>
      </c>
      <c r="E14" s="427">
        <v>10269.000000000002</v>
      </c>
    </row>
    <row r="15" spans="1:5">
      <c r="A15" s="74" t="s">
        <v>949</v>
      </c>
      <c r="C15" s="427">
        <v>72576</v>
      </c>
      <c r="D15" s="427">
        <v>0</v>
      </c>
      <c r="E15" s="427">
        <v>5080.3200000000006</v>
      </c>
    </row>
    <row r="16" spans="1:5">
      <c r="A16" s="74" t="s">
        <v>387</v>
      </c>
      <c r="C16" s="427">
        <v>11880</v>
      </c>
      <c r="D16" s="427">
        <v>0</v>
      </c>
      <c r="E16" s="427">
        <v>831.6</v>
      </c>
    </row>
    <row r="17" spans="1:5">
      <c r="A17" s="74" t="s">
        <v>388</v>
      </c>
      <c r="C17" s="427">
        <v>5252.8</v>
      </c>
      <c r="D17" s="427">
        <v>0</v>
      </c>
      <c r="E17" s="427">
        <v>367.69600000000003</v>
      </c>
    </row>
    <row r="18" spans="1:5">
      <c r="C18"/>
    </row>
    <row r="19" spans="1:5">
      <c r="C19"/>
    </row>
    <row r="20" spans="1:5">
      <c r="C20"/>
    </row>
    <row r="21" spans="1:5">
      <c r="C21"/>
    </row>
    <row r="22" spans="1:5">
      <c r="C22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Foglio24"/>
  <dimension ref="A2:T15"/>
  <sheetViews>
    <sheetView workbookViewId="0">
      <selection activeCell="B48" sqref="B48"/>
    </sheetView>
  </sheetViews>
  <sheetFormatPr defaultRowHeight="15"/>
  <cols>
    <col min="1" max="1" width="44.42578125" bestFit="1" customWidth="1"/>
    <col min="2" max="2" width="14.5703125" customWidth="1"/>
    <col min="3" max="20" width="8.7109375" customWidth="1"/>
  </cols>
  <sheetData>
    <row r="2" spans="1:20">
      <c r="A2" s="95" t="s">
        <v>1</v>
      </c>
      <c r="B2" t="s">
        <v>128</v>
      </c>
    </row>
    <row r="4" spans="1:20">
      <c r="A4" s="95" t="s">
        <v>1151</v>
      </c>
      <c r="C4" s="95" t="s">
        <v>1152</v>
      </c>
    </row>
    <row r="5" spans="1:20">
      <c r="A5" s="95" t="s">
        <v>746</v>
      </c>
      <c r="B5" s="95" t="s">
        <v>0</v>
      </c>
      <c r="C5" s="7">
        <v>1</v>
      </c>
      <c r="D5" s="7">
        <v>2</v>
      </c>
      <c r="E5" s="7">
        <v>3</v>
      </c>
      <c r="F5" s="7">
        <v>5</v>
      </c>
      <c r="G5" s="7">
        <v>7</v>
      </c>
      <c r="H5" s="7">
        <v>8</v>
      </c>
      <c r="I5" s="7">
        <v>9</v>
      </c>
      <c r="J5" s="7">
        <v>12</v>
      </c>
      <c r="K5" s="7">
        <v>13</v>
      </c>
      <c r="L5" s="7">
        <v>14</v>
      </c>
      <c r="M5" s="7">
        <v>15</v>
      </c>
      <c r="N5" s="7">
        <v>16</v>
      </c>
      <c r="O5" s="7">
        <v>18</v>
      </c>
      <c r="P5" s="7">
        <v>20</v>
      </c>
      <c r="Q5" s="7">
        <v>22</v>
      </c>
      <c r="R5" s="7">
        <v>25</v>
      </c>
      <c r="S5" s="7">
        <v>28</v>
      </c>
      <c r="T5" s="7">
        <v>34</v>
      </c>
    </row>
    <row r="6" spans="1:20">
      <c r="A6" s="74" t="s">
        <v>139</v>
      </c>
      <c r="B6" s="74" t="s">
        <v>138</v>
      </c>
      <c r="C6" s="431"/>
      <c r="D6" s="431">
        <v>720</v>
      </c>
      <c r="E6" s="431">
        <v>480</v>
      </c>
      <c r="F6" s="431"/>
      <c r="G6" s="431"/>
      <c r="H6" s="431"/>
      <c r="I6" s="431">
        <v>60</v>
      </c>
      <c r="J6" s="431"/>
      <c r="K6" s="431"/>
      <c r="L6" s="431"/>
      <c r="M6" s="431"/>
      <c r="N6" s="431"/>
      <c r="O6" s="431"/>
      <c r="P6" s="431"/>
      <c r="Q6" s="431"/>
      <c r="R6" s="431"/>
      <c r="S6" s="431"/>
      <c r="T6" s="431"/>
    </row>
    <row r="7" spans="1:20">
      <c r="A7" s="74" t="s">
        <v>137</v>
      </c>
      <c r="B7" s="74" t="s">
        <v>136</v>
      </c>
      <c r="C7" s="431"/>
      <c r="D7" s="431">
        <v>720</v>
      </c>
      <c r="E7" s="431">
        <v>480</v>
      </c>
      <c r="F7" s="431"/>
      <c r="G7" s="431"/>
      <c r="H7" s="431"/>
      <c r="I7" s="431">
        <v>60</v>
      </c>
      <c r="J7" s="431"/>
      <c r="K7" s="431"/>
      <c r="L7" s="431"/>
      <c r="M7" s="431"/>
      <c r="N7" s="431"/>
      <c r="O7" s="431"/>
      <c r="P7" s="431"/>
      <c r="Q7" s="431"/>
      <c r="R7" s="431"/>
      <c r="S7" s="431"/>
      <c r="T7" s="431"/>
    </row>
    <row r="8" spans="1:20">
      <c r="A8" s="74" t="s">
        <v>131</v>
      </c>
      <c r="B8" s="74" t="s">
        <v>130</v>
      </c>
      <c r="C8" s="431"/>
      <c r="D8" s="431">
        <v>720</v>
      </c>
      <c r="E8" s="431">
        <v>480</v>
      </c>
      <c r="F8" s="431"/>
      <c r="G8" s="431"/>
      <c r="H8" s="431"/>
      <c r="I8" s="431"/>
      <c r="J8" s="431"/>
      <c r="K8" s="431"/>
      <c r="L8" s="431"/>
      <c r="M8" s="431"/>
      <c r="N8" s="431"/>
      <c r="O8" s="431"/>
      <c r="P8" s="431"/>
      <c r="Q8" s="431"/>
      <c r="R8" s="431"/>
      <c r="S8" s="431"/>
      <c r="T8" s="431"/>
    </row>
    <row r="9" spans="1:20">
      <c r="A9" s="74" t="s">
        <v>162</v>
      </c>
      <c r="B9" s="74" t="s">
        <v>161</v>
      </c>
      <c r="C9" s="431">
        <v>1032</v>
      </c>
      <c r="D9" s="431"/>
      <c r="E9" s="431"/>
      <c r="F9" s="431">
        <v>2712</v>
      </c>
      <c r="G9" s="431">
        <v>200</v>
      </c>
      <c r="H9" s="431">
        <v>24</v>
      </c>
      <c r="I9" s="431"/>
      <c r="J9" s="431">
        <v>1008</v>
      </c>
      <c r="K9" s="431"/>
      <c r="L9" s="431">
        <v>750</v>
      </c>
      <c r="M9" s="431">
        <v>750</v>
      </c>
      <c r="N9" s="431"/>
      <c r="O9" s="431">
        <v>5651</v>
      </c>
      <c r="P9" s="431"/>
      <c r="Q9" s="431"/>
      <c r="R9" s="431">
        <v>492</v>
      </c>
      <c r="S9" s="431">
        <v>902</v>
      </c>
      <c r="T9" s="431"/>
    </row>
    <row r="10" spans="1:20">
      <c r="A10" s="74" t="s">
        <v>141</v>
      </c>
      <c r="B10" s="74" t="s">
        <v>140</v>
      </c>
      <c r="C10" s="431"/>
      <c r="D10" s="431">
        <v>720</v>
      </c>
      <c r="E10" s="431">
        <v>480</v>
      </c>
      <c r="F10" s="431"/>
      <c r="G10" s="431"/>
      <c r="H10" s="431"/>
      <c r="I10" s="431">
        <v>60</v>
      </c>
      <c r="J10" s="431"/>
      <c r="K10" s="431">
        <v>60</v>
      </c>
      <c r="L10" s="431"/>
      <c r="M10" s="431"/>
      <c r="N10" s="431"/>
      <c r="O10" s="431"/>
      <c r="P10" s="431"/>
      <c r="Q10" s="431"/>
      <c r="R10" s="431"/>
      <c r="S10" s="431"/>
      <c r="T10" s="431">
        <v>24</v>
      </c>
    </row>
    <row r="11" spans="1:20">
      <c r="A11" s="74" t="s">
        <v>143</v>
      </c>
      <c r="B11" s="74" t="s">
        <v>142</v>
      </c>
      <c r="C11" s="431"/>
      <c r="D11" s="431">
        <v>720</v>
      </c>
      <c r="E11" s="431">
        <v>480</v>
      </c>
      <c r="F11" s="431"/>
      <c r="G11" s="431"/>
      <c r="H11" s="431"/>
      <c r="I11" s="431">
        <v>120</v>
      </c>
      <c r="J11" s="431"/>
      <c r="K11" s="431"/>
      <c r="L11" s="431"/>
      <c r="M11" s="431"/>
      <c r="N11" s="431"/>
      <c r="O11" s="431"/>
      <c r="P11" s="431"/>
      <c r="Q11" s="431"/>
      <c r="R11" s="431"/>
      <c r="S11" s="431"/>
      <c r="T11" s="431">
        <v>72</v>
      </c>
    </row>
    <row r="12" spans="1:20">
      <c r="A12" s="74" t="s">
        <v>164</v>
      </c>
      <c r="B12" s="74" t="s">
        <v>163</v>
      </c>
      <c r="C12" s="431">
        <v>792</v>
      </c>
      <c r="D12" s="431"/>
      <c r="E12" s="431"/>
      <c r="F12" s="431">
        <v>2712</v>
      </c>
      <c r="G12" s="431">
        <v>200</v>
      </c>
      <c r="H12" s="431">
        <v>24</v>
      </c>
      <c r="I12" s="431"/>
      <c r="J12" s="431">
        <v>768</v>
      </c>
      <c r="K12" s="431"/>
      <c r="L12" s="431">
        <v>750</v>
      </c>
      <c r="M12" s="431">
        <v>750</v>
      </c>
      <c r="N12" s="431">
        <v>750</v>
      </c>
      <c r="O12" s="431">
        <v>5355</v>
      </c>
      <c r="P12" s="431"/>
      <c r="Q12" s="431"/>
      <c r="R12" s="431">
        <v>732</v>
      </c>
      <c r="S12" s="431">
        <v>1016</v>
      </c>
      <c r="T12" s="431"/>
    </row>
    <row r="13" spans="1:20">
      <c r="A13" s="74" t="s">
        <v>135</v>
      </c>
      <c r="B13" s="74" t="s">
        <v>134</v>
      </c>
      <c r="C13" s="431"/>
      <c r="D13" s="431">
        <v>720</v>
      </c>
      <c r="E13" s="431">
        <v>480</v>
      </c>
      <c r="F13" s="431"/>
      <c r="G13" s="431">
        <v>150</v>
      </c>
      <c r="H13" s="431">
        <v>24</v>
      </c>
      <c r="I13" s="431">
        <v>60</v>
      </c>
      <c r="J13" s="431"/>
      <c r="K13" s="431"/>
      <c r="L13" s="431"/>
      <c r="M13" s="431"/>
      <c r="N13" s="431"/>
      <c r="O13" s="431"/>
      <c r="P13" s="431"/>
      <c r="Q13" s="431"/>
      <c r="R13" s="431"/>
      <c r="S13" s="431"/>
      <c r="T13" s="431">
        <v>300</v>
      </c>
    </row>
    <row r="14" spans="1:20">
      <c r="A14" s="74" t="s">
        <v>843</v>
      </c>
      <c r="B14" s="74" t="s">
        <v>132</v>
      </c>
      <c r="C14" s="431"/>
      <c r="D14" s="431">
        <v>720</v>
      </c>
      <c r="E14" s="431">
        <v>480</v>
      </c>
      <c r="F14" s="431"/>
      <c r="G14" s="431"/>
      <c r="H14" s="431"/>
      <c r="I14" s="431"/>
      <c r="J14" s="431"/>
      <c r="K14" s="431">
        <v>504</v>
      </c>
      <c r="L14" s="431"/>
      <c r="M14" s="431"/>
      <c r="N14" s="431"/>
      <c r="O14" s="431"/>
      <c r="P14" s="431"/>
      <c r="Q14" s="431"/>
      <c r="R14" s="431"/>
      <c r="S14" s="431">
        <v>2972</v>
      </c>
      <c r="T14" s="431">
        <v>120</v>
      </c>
    </row>
    <row r="15" spans="1:20">
      <c r="A15" s="74" t="s">
        <v>129</v>
      </c>
      <c r="B15" s="74" t="s">
        <v>127</v>
      </c>
      <c r="C15" s="431"/>
      <c r="D15" s="431">
        <v>720</v>
      </c>
      <c r="E15" s="431">
        <v>480</v>
      </c>
      <c r="F15" s="431"/>
      <c r="G15" s="431">
        <v>450</v>
      </c>
      <c r="H15" s="431">
        <v>48</v>
      </c>
      <c r="I15" s="431">
        <v>60</v>
      </c>
      <c r="J15" s="431"/>
      <c r="K15" s="431"/>
      <c r="L15" s="431"/>
      <c r="M15" s="431"/>
      <c r="N15" s="431"/>
      <c r="O15" s="431"/>
      <c r="P15" s="431"/>
      <c r="Q15" s="431"/>
      <c r="R15" s="431"/>
      <c r="S15" s="431">
        <v>4942</v>
      </c>
      <c r="T15" s="431">
        <v>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25</vt:i4>
      </vt:variant>
      <vt:variant>
        <vt:lpstr>Intervalli denominati</vt:lpstr>
      </vt:variant>
      <vt:variant>
        <vt:i4>53</vt:i4>
      </vt:variant>
    </vt:vector>
  </HeadingPairs>
  <TitlesOfParts>
    <vt:vector size="78" baseType="lpstr">
      <vt:lpstr>bhpc_data</vt:lpstr>
      <vt:lpstr>clientData</vt:lpstr>
      <vt:lpstr>dgn_calculation</vt:lpstr>
      <vt:lpstr>salesHistory</vt:lpstr>
      <vt:lpstr>orderHistory</vt:lpstr>
      <vt:lpstr>supplyHistory</vt:lpstr>
      <vt:lpstr>inventoryBHPC2023</vt:lpstr>
      <vt:lpstr>proformaModel1</vt:lpstr>
      <vt:lpstr>proformaModel12</vt:lpstr>
      <vt:lpstr>proformaModel2</vt:lpstr>
      <vt:lpstr>proformaModel22</vt:lpstr>
      <vt:lpstr>plModel1</vt:lpstr>
      <vt:lpstr>dgnModel</vt:lpstr>
      <vt:lpstr>plModel12</vt:lpstr>
      <vt:lpstr>dgnFinalModel</vt:lpstr>
      <vt:lpstr>carrier_data</vt:lpstr>
      <vt:lpstr>BHPC MANAGER</vt:lpstr>
      <vt:lpstr>COMMERCIAL</vt:lpstr>
      <vt:lpstr>WAREHOUSE</vt:lpstr>
      <vt:lpstr>COSTS ON BEHALF OF BHPC</vt:lpstr>
      <vt:lpstr>LABOR</vt:lpstr>
      <vt:lpstr>WAREHOUSING</vt:lpstr>
      <vt:lpstr>FINANCE</vt:lpstr>
      <vt:lpstr>ORDER ANALYTICS</vt:lpstr>
      <vt:lpstr>SALES ANALYTICS</vt:lpstr>
      <vt:lpstr>dgnFinalModel!Area_stampa</vt:lpstr>
      <vt:lpstr>plModel1!Area_stampa</vt:lpstr>
      <vt:lpstr>plModel12!Area_stampa</vt:lpstr>
      <vt:lpstr>proformaModel1!Area_stampa</vt:lpstr>
      <vt:lpstr>proformaModel12!Area_stampa</vt:lpstr>
      <vt:lpstr>proformaModel2!Area_stampa</vt:lpstr>
      <vt:lpstr>proformaModel22!Area_stampa</vt:lpstr>
      <vt:lpstr>dgnFinalModel!bhpcSKU</vt:lpstr>
      <vt:lpstr>plModel12!bhpcSKU</vt:lpstr>
      <vt:lpstr>proformaModel1!bhpcSKU</vt:lpstr>
      <vt:lpstr>proformaModel12!bhpcSKU</vt:lpstr>
      <vt:lpstr>proformaModel2!bhpcSKU</vt:lpstr>
      <vt:lpstr>proformaModel22!bhpcSKU</vt:lpstr>
      <vt:lpstr>bhpcSKU</vt:lpstr>
      <vt:lpstr>carriers_name</vt:lpstr>
      <vt:lpstr>group1dgnvalues</vt:lpstr>
      <vt:lpstr>group2dgnvalues</vt:lpstr>
      <vt:lpstr>group3dgnvalues</vt:lpstr>
      <vt:lpstr>productsCartons</vt:lpstr>
      <vt:lpstr>productsCategory</vt:lpstr>
      <vt:lpstr>productsCbm</vt:lpstr>
      <vt:lpstr>productsCostPrice</vt:lpstr>
      <vt:lpstr>productsCostTot</vt:lpstr>
      <vt:lpstr>productsDescription</vt:lpstr>
      <vt:lpstr>productsDiscCartons</vt:lpstr>
      <vt:lpstr>productsDiscPrice</vt:lpstr>
      <vt:lpstr>productsDiscQty</vt:lpstr>
      <vt:lpstr>productsFocCartons</vt:lpstr>
      <vt:lpstr>productsFocQty</vt:lpstr>
      <vt:lpstr>productsGrossWeight</vt:lpstr>
      <vt:lpstr>productsNetWeight</vt:lpstr>
      <vt:lpstr>productsQty</vt:lpstr>
      <vt:lpstr>productsSalePrice</vt:lpstr>
      <vt:lpstr>productsSize</vt:lpstr>
      <vt:lpstr>productsSku</vt:lpstr>
      <vt:lpstr>productsSoldTot</vt:lpstr>
      <vt:lpstr>dgnFinalModel!proformaModel3</vt:lpstr>
      <vt:lpstr>plModel12!proformaModel3</vt:lpstr>
      <vt:lpstr>proformaModel12!proformaModel3</vt:lpstr>
      <vt:lpstr>proformaModel2!proformaModel3</vt:lpstr>
      <vt:lpstr>proformaModel22!proformaModel3</vt:lpstr>
      <vt:lpstr>proformaModel3</vt:lpstr>
      <vt:lpstr>plModel12!ss</vt:lpstr>
      <vt:lpstr>proformaModel1!ss</vt:lpstr>
      <vt:lpstr>proformaModel12!ss</vt:lpstr>
      <vt:lpstr>proformaModel2!ss</vt:lpstr>
      <vt:lpstr>proformaModel22!ss</vt:lpstr>
      <vt:lpstr>plModel1!Titoli_stampa</vt:lpstr>
      <vt:lpstr>plModel12!Titoli_stampa</vt:lpstr>
      <vt:lpstr>proformaModel1!Titoli_stampa</vt:lpstr>
      <vt:lpstr>proformaModel12!Titoli_stampa</vt:lpstr>
      <vt:lpstr>proformaModel2!Titoli_stampa</vt:lpstr>
      <vt:lpstr>proformaModel22!Titoli_stampa</vt:lpstr>
    </vt:vector>
  </TitlesOfParts>
  <Manager/>
  <Company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acer</dc:creator>
  <cp:keywords/>
  <dc:description/>
  <cp:lastModifiedBy>Stephane</cp:lastModifiedBy>
  <cp:revision/>
  <cp:lastPrinted>2024-05-16T10:18:30Z</cp:lastPrinted>
  <dcterms:created xsi:type="dcterms:W3CDTF">2016-09-21T06:55:08Z</dcterms:created>
  <dcterms:modified xsi:type="dcterms:W3CDTF">2024-05-24T15:12:12Z</dcterms:modified>
  <cp:category/>
  <cp:contentStatus/>
</cp:coreProperties>
</file>