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19398" documentId="11_FBFCA30F9FC5C801453446FD2A526391C86FB55C" xr6:coauthVersionLast="47" xr6:coauthVersionMax="47" xr10:uidLastSave="{6CAF8DC8-8DC5-4CBE-82B6-3C5DF63AF240}"/>
  <bookViews>
    <workbookView xWindow="-110" yWindow="-110" windowWidth="38620" windowHeight="21100" tabRatio="719" firstSheet="12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state="hidden" r:id="rId12"/>
    <sheet name="BHPC MANAGER" sheetId="37" r:id="rId13"/>
  </sheets>
  <functionGroups builtInGroupCount="19"/>
  <definedNames>
    <definedName name="_xlnm._FilterDatabase" localSheetId="12" hidden="1">'BHPC MANAGER'!$BZ$7:$CT$110</definedName>
    <definedName name="_xlnm._FilterDatabase" localSheetId="0" hidden="1">'customerData'!$A$1:$T$2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dgnClassesProducts!$D$2:$D$10</definedName>
    <definedName name="BODYMIST_200">dgnClassesProducts!$S$2:$S$5</definedName>
    <definedName name="BODYMIST_200_PESI">dgnClassesProducts!$T$2:$T$5</definedName>
    <definedName name="BODYMIST_250">dgnClassesProducts!$O$2:$O$6</definedName>
    <definedName name="BODYMIST_250_PESI">dgnClassesProducts!$P$2:$P$6</definedName>
    <definedName name="clientName">OFFSET('customerData'!#REF!,0,0,COUNTA('customerData'!$A$2:$A$2),1)</definedName>
    <definedName name="currencyFields">'BHPC MANAGER'!$CC$7:$CC$110,'BHPC MANAGER'!$CE$7:$CE$110,'BHPC MANAGER'!$CT$7:$CT$110,'BHPC MANAGER'!$DA$11,'BHPC MANAGER'!$DA$14:$DA$15</definedName>
    <definedName name="DEODORANT">dgnClassesProducts!$E$2:$E$58</definedName>
    <definedName name="DEODORANT_100">dgnClassesProducts!$I$2:$I$3</definedName>
    <definedName name="DEODORANT_100_PESI">dgnClassesProducts!$J$2:$J$3</definedName>
    <definedName name="DEODORANT_150">dgnClassesProducts!$M$2:$M$20</definedName>
    <definedName name="DEODORANT_150_PESI">dgnClassesProducts!$N$2:$N$20</definedName>
    <definedName name="DEODORANT_175">dgnClassesProducts!$I$2:$I$24</definedName>
    <definedName name="DEODORANT_175_PESI">dgnClassesProducts!$J$2:$J$24</definedName>
    <definedName name="DEODORANT_250">dgnClassesProducts!$M$2:$M$5</definedName>
    <definedName name="DEODORANT_250_PESI">dgnClassesProducts!$N$2:$N$5</definedName>
    <definedName name="DEODORANT_300">dgnClassesProducts!$Q$2:$Q$6</definedName>
    <definedName name="DEODORANT_300_PESI">dgnClassesProducts!$R$2:$R$6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dgnClassesProducts!$F$2:$F$82</definedName>
    <definedName name="PERFUME_100">dgnClassesProducts!$G$2:$G$42</definedName>
    <definedName name="PERFUME_100_PESI">dgnClassesProducts!$H$2:$H$42</definedName>
    <definedName name="PERFUME_50">dgnClassesProducts!$K$2:$K$34</definedName>
    <definedName name="PERFUME_50_PESI">dgnClassesProducts!$L$2:$L$34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62" l="1" a="1"/>
  <c r="H32" i="62" a="1"/>
  <c r="G32" i="62" a="1"/>
  <c r="B32" i="62" a="1"/>
  <c r="B31" i="62" a="1"/>
  <c r="D25" i="70"/>
  <c r="D24" i="70"/>
  <c r="H14" i="70" a="1"/>
  <c r="H14" i="70" s="1"/>
  <c r="G14" i="70" a="1"/>
  <c r="G14" i="70" s="1"/>
  <c r="I14" i="70" s="1"/>
  <c r="B14" i="70" a="1"/>
  <c r="B14" i="70" s="1"/>
  <c r="A14" i="70" a="1"/>
  <c r="A14" i="70" s="1"/>
  <c r="Z14" i="70" a="1"/>
  <c r="Z14" i="70" s="1"/>
  <c r="J14" i="70" s="1"/>
  <c r="L12" i="69" a="1"/>
  <c r="L12" i="69" s="1"/>
  <c r="G12" i="69" a="1"/>
  <c r="G12" i="69" s="1"/>
  <c r="I12" i="69" s="1"/>
  <c r="B12" i="69" a="1"/>
  <c r="B12" i="69" s="1"/>
  <c r="A12" i="69" a="1"/>
  <c r="A12" i="69" s="1"/>
  <c r="Z12" i="69" a="1"/>
  <c r="Z12" i="69" s="1"/>
  <c r="M12" i="69" s="1"/>
  <c r="L15" i="37" a="1"/>
  <c r="L15" i="37" s="1"/>
  <c r="M17" i="37" a="1"/>
  <c r="M17" i="37" s="1"/>
  <c r="B4" i="37" s="1"/>
  <c r="N24" i="37" a="1"/>
  <c r="N24" i="37" s="1"/>
  <c r="M19" i="37" a="1"/>
  <c r="M19" i="37" s="1"/>
  <c r="L13" i="37" a="1"/>
  <c r="L13" i="37" s="1"/>
  <c r="L110" i="37" a="1"/>
  <c r="L110" i="37" s="1"/>
  <c r="L109" i="37" a="1"/>
  <c r="L109" i="37" s="1"/>
  <c r="L108" i="37" a="1"/>
  <c r="L108" i="37" s="1"/>
  <c r="L107" i="37" a="1"/>
  <c r="L107" i="37" s="1"/>
  <c r="L106" i="37" a="1"/>
  <c r="L106" i="37" s="1"/>
  <c r="L105" i="37" a="1"/>
  <c r="L105" i="37" s="1"/>
  <c r="L104" i="37" a="1"/>
  <c r="L104" i="37" s="1"/>
  <c r="L103" i="37" a="1"/>
  <c r="L103" i="37" s="1"/>
  <c r="L102" i="37" a="1"/>
  <c r="L102" i="37" s="1"/>
  <c r="L101" i="37" a="1"/>
  <c r="L101" i="37" s="1"/>
  <c r="L100" i="37" a="1"/>
  <c r="L100" i="37" s="1"/>
  <c r="L99" i="37" a="1"/>
  <c r="L99" i="37" s="1"/>
  <c r="L98" i="37" a="1"/>
  <c r="L98" i="37" s="1"/>
  <c r="L97" i="37" a="1"/>
  <c r="L97" i="37" s="1"/>
  <c r="L96" i="37" a="1"/>
  <c r="L96" i="37" s="1"/>
  <c r="L95" i="37" a="1"/>
  <c r="L95" i="37" s="1"/>
  <c r="L94" i="37" a="1"/>
  <c r="L94" i="37" s="1"/>
  <c r="L93" i="37" a="1"/>
  <c r="L93" i="37" s="1"/>
  <c r="L92" i="37" a="1"/>
  <c r="L92" i="37" s="1"/>
  <c r="L91" i="37" a="1"/>
  <c r="L91" i="37" s="1"/>
  <c r="L90" i="37" a="1"/>
  <c r="L90" i="37" s="1"/>
  <c r="L89" i="37" a="1"/>
  <c r="L89" i="37" s="1"/>
  <c r="L88" i="37" a="1"/>
  <c r="L88" i="37" s="1"/>
  <c r="L87" i="37" a="1"/>
  <c r="L87" i="37" s="1"/>
  <c r="L86" i="37" a="1"/>
  <c r="L86" i="37" s="1"/>
  <c r="L85" i="37" a="1"/>
  <c r="L85" i="37" s="1"/>
  <c r="L84" i="37" a="1"/>
  <c r="L84" i="37" s="1"/>
  <c r="L83" i="37" a="1"/>
  <c r="L83" i="37" s="1"/>
  <c r="L82" i="37" a="1"/>
  <c r="L82" i="37" s="1"/>
  <c r="L81" i="37" a="1"/>
  <c r="L81" i="37" s="1"/>
  <c r="L80" i="37" a="1"/>
  <c r="L80" i="37" s="1"/>
  <c r="L79" i="37" a="1"/>
  <c r="L79" i="37" s="1"/>
  <c r="L78" i="37" a="1"/>
  <c r="L78" i="37" s="1"/>
  <c r="L77" i="37" a="1"/>
  <c r="L77" i="37" s="1"/>
  <c r="L76" i="37" a="1"/>
  <c r="L76" i="37" s="1"/>
  <c r="L75" i="37" a="1"/>
  <c r="L75" i="37" s="1"/>
  <c r="L74" i="37" a="1"/>
  <c r="L74" i="37" s="1"/>
  <c r="L73" i="37" a="1"/>
  <c r="L73" i="37" s="1"/>
  <c r="L72" i="37" a="1"/>
  <c r="L72" i="37" s="1"/>
  <c r="L71" i="37" a="1"/>
  <c r="L71" i="37" s="1"/>
  <c r="L70" i="37" a="1"/>
  <c r="L70" i="37" s="1"/>
  <c r="L69" i="37" a="1"/>
  <c r="L69" i="37" s="1"/>
  <c r="L68" i="37" a="1"/>
  <c r="L68" i="37" s="1"/>
  <c r="L67" i="37" a="1"/>
  <c r="L67" i="37" s="1"/>
  <c r="L66" i="37" a="1"/>
  <c r="L66" i="37" s="1"/>
  <c r="L65" i="37" a="1"/>
  <c r="L65" i="37" s="1"/>
  <c r="L64" i="37" a="1"/>
  <c r="L64" i="37" s="1"/>
  <c r="L63" i="37" a="1"/>
  <c r="L63" i="37" s="1"/>
  <c r="L62" i="37" a="1"/>
  <c r="L62" i="37" s="1"/>
  <c r="L61" i="37" a="1"/>
  <c r="L61" i="37" s="1"/>
  <c r="L60" i="37" a="1"/>
  <c r="L60" i="37" s="1"/>
  <c r="L59" i="37" a="1"/>
  <c r="L59" i="37" s="1"/>
  <c r="L58" i="37" a="1"/>
  <c r="L58" i="37" s="1"/>
  <c r="L57" i="37" a="1"/>
  <c r="L57" i="37" s="1"/>
  <c r="L56" i="37" a="1"/>
  <c r="L56" i="37" s="1"/>
  <c r="L55" i="37" a="1"/>
  <c r="L55" i="37" s="1"/>
  <c r="L54" i="37" a="1"/>
  <c r="L54" i="37" s="1"/>
  <c r="L53" i="37" a="1"/>
  <c r="L53" i="37" s="1"/>
  <c r="L52" i="37" a="1"/>
  <c r="L52" i="37" s="1"/>
  <c r="L51" i="37" a="1"/>
  <c r="L51" i="37" s="1"/>
  <c r="L50" i="37" a="1"/>
  <c r="L50" i="37" s="1"/>
  <c r="L49" i="37" a="1"/>
  <c r="L49" i="37" s="1"/>
  <c r="L48" i="37" a="1"/>
  <c r="L48" i="37" s="1"/>
  <c r="L47" i="37" a="1"/>
  <c r="L47" i="37" s="1"/>
  <c r="L46" i="37" a="1"/>
  <c r="L46" i="37" s="1"/>
  <c r="L45" i="37" a="1"/>
  <c r="L45" i="37" s="1"/>
  <c r="L44" i="37" a="1"/>
  <c r="L44" i="37" s="1"/>
  <c r="L43" i="37" a="1"/>
  <c r="L43" i="37" s="1"/>
  <c r="L42" i="37" a="1"/>
  <c r="L42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8" i="37" a="1"/>
  <c r="L18" i="37" s="1"/>
  <c r="L17" i="37" a="1"/>
  <c r="L17" i="37" s="1"/>
  <c r="B6" i="37" s="1"/>
  <c r="L16" i="37" a="1"/>
  <c r="L16" i="37" s="1"/>
  <c r="L14" i="37" a="1"/>
  <c r="L14" i="37" s="1"/>
  <c r="L12" i="37" a="1"/>
  <c r="L12" i="37" s="1"/>
  <c r="L11" i="37" a="1"/>
  <c r="L11" i="37" s="1"/>
  <c r="L10" i="37" a="1"/>
  <c r="L10" i="37" s="1"/>
  <c r="L9" i="37" a="1"/>
  <c r="L9" i="37" s="1"/>
  <c r="L8" i="37" a="1"/>
  <c r="L8" i="37" s="1"/>
  <c r="K14" i="70" l="1"/>
  <c r="J12" i="69"/>
  <c r="K12" i="69"/>
  <c r="H12" i="69"/>
  <c r="H15" i="70"/>
  <c r="H17" i="70"/>
  <c r="H16" i="70"/>
  <c r="G15" i="70"/>
  <c r="G17" i="70"/>
  <c r="G16" i="70"/>
  <c r="B17" i="70"/>
  <c r="B15" i="70"/>
  <c r="B16" i="70"/>
  <c r="A17" i="70"/>
  <c r="A16" i="70"/>
  <c r="A15" i="70"/>
  <c r="Z17" i="70"/>
  <c r="J17" i="70" s="1"/>
  <c r="Z16" i="70"/>
  <c r="J16" i="70" s="1"/>
  <c r="Z15" i="70"/>
  <c r="J15" i="70" s="1"/>
  <c r="L14" i="69"/>
  <c r="L13" i="69"/>
  <c r="L15" i="69"/>
  <c r="G14" i="69"/>
  <c r="G13" i="69"/>
  <c r="G15" i="69"/>
  <c r="B14" i="69"/>
  <c r="B13" i="69"/>
  <c r="B15" i="69"/>
  <c r="A13" i="69"/>
  <c r="A15" i="69"/>
  <c r="A14" i="69"/>
  <c r="Z15" i="69"/>
  <c r="M15" i="69" s="1"/>
  <c r="Z14" i="69"/>
  <c r="M14" i="69" s="1"/>
  <c r="Z13" i="69"/>
  <c r="M13" i="69" s="1"/>
  <c r="M8" i="37" a="1"/>
  <c r="M8" i="37" s="1"/>
  <c r="B31" i="62" l="1"/>
  <c r="I16" i="70"/>
  <c r="K16" i="70"/>
  <c r="I17" i="70"/>
  <c r="K17" i="70"/>
  <c r="I15" i="70"/>
  <c r="K15" i="70"/>
  <c r="I32" i="62"/>
  <c r="B32" i="62"/>
  <c r="K15" i="69"/>
  <c r="I15" i="69"/>
  <c r="H32" i="62" s="1"/>
  <c r="H15" i="69"/>
  <c r="J15" i="69"/>
  <c r="K13" i="69"/>
  <c r="J13" i="69"/>
  <c r="I13" i="69"/>
  <c r="H13" i="69"/>
  <c r="G32" i="62" s="1"/>
  <c r="J14" i="69"/>
  <c r="H14" i="69"/>
  <c r="K14" i="69"/>
  <c r="I14" i="69"/>
  <c r="W110" i="37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W34" i="37" a="1"/>
  <c r="W34" i="37" s="1"/>
  <c r="V34" i="37" a="1"/>
  <c r="V34" i="37" s="1"/>
  <c r="U34" i="37" a="1"/>
  <c r="U34" i="37" s="1"/>
  <c r="T34" i="37" a="1"/>
  <c r="T34" i="37" s="1"/>
  <c r="S34" i="37" a="1"/>
  <c r="S34" i="37" s="1"/>
  <c r="R34" i="37" a="1"/>
  <c r="R34" i="37" s="1"/>
  <c r="Q34" i="37" a="1"/>
  <c r="Q34" i="37" s="1"/>
  <c r="P34" i="37" a="1"/>
  <c r="P34" i="37" s="1"/>
  <c r="O34" i="37" a="1"/>
  <c r="O34" i="37" s="1"/>
  <c r="N34" i="37" a="1"/>
  <c r="N34" i="37" s="1"/>
  <c r="M34" i="37" a="1"/>
  <c r="M34" i="37" s="1"/>
  <c r="W33" i="37" a="1"/>
  <c r="W33" i="37" s="1"/>
  <c r="V33" i="37" a="1"/>
  <c r="V33" i="37" s="1"/>
  <c r="U33" i="37" a="1"/>
  <c r="U33" i="37" s="1"/>
  <c r="T33" i="37" a="1"/>
  <c r="T33" i="37" s="1"/>
  <c r="S33" i="37" a="1"/>
  <c r="S33" i="37" s="1"/>
  <c r="R33" i="37" a="1"/>
  <c r="R33" i="37" s="1"/>
  <c r="Q33" i="37" a="1"/>
  <c r="Q33" i="37" s="1"/>
  <c r="P33" i="37" a="1"/>
  <c r="P33" i="37" s="1"/>
  <c r="O33" i="37" a="1"/>
  <c r="O33" i="37" s="1"/>
  <c r="N33" i="37" a="1"/>
  <c r="N33" i="37" s="1"/>
  <c r="M33" i="37" a="1"/>
  <c r="M33" i="37" s="1"/>
  <c r="W32" i="37" a="1"/>
  <c r="W32" i="37" s="1"/>
  <c r="V32" i="37" a="1"/>
  <c r="V32" i="37" s="1"/>
  <c r="U32" i="37" a="1"/>
  <c r="U32" i="37" s="1"/>
  <c r="T32" i="37" a="1"/>
  <c r="T32" i="37" s="1"/>
  <c r="S32" i="37" a="1"/>
  <c r="S32" i="37" s="1"/>
  <c r="R32" i="37" a="1"/>
  <c r="R32" i="37" s="1"/>
  <c r="Q32" i="37" a="1"/>
  <c r="Q32" i="37" s="1"/>
  <c r="P32" i="37" a="1"/>
  <c r="P32" i="37" s="1"/>
  <c r="O32" i="37" a="1"/>
  <c r="O32" i="37" s="1"/>
  <c r="N32" i="37" a="1"/>
  <c r="N32" i="37" s="1"/>
  <c r="M32" i="37" a="1"/>
  <c r="M32" i="37" s="1"/>
  <c r="W31" i="37" a="1"/>
  <c r="W31" i="37" s="1"/>
  <c r="V31" i="37" a="1"/>
  <c r="V31" i="37" s="1"/>
  <c r="U31" i="37" a="1"/>
  <c r="U31" i="37" s="1"/>
  <c r="T31" i="37" a="1"/>
  <c r="T31" i="37" s="1"/>
  <c r="S31" i="37" a="1"/>
  <c r="S31" i="37" s="1"/>
  <c r="R31" i="37" a="1"/>
  <c r="R31" i="37" s="1"/>
  <c r="Q31" i="37" a="1"/>
  <c r="Q31" i="37" s="1"/>
  <c r="P31" i="37" a="1"/>
  <c r="P31" i="37" s="1"/>
  <c r="O31" i="37" a="1"/>
  <c r="O31" i="37" s="1"/>
  <c r="N31" i="37" a="1"/>
  <c r="N31" i="37" s="1"/>
  <c r="M31" i="37" a="1"/>
  <c r="M31" i="37" s="1"/>
  <c r="W30" i="37" a="1"/>
  <c r="W30" i="37" s="1"/>
  <c r="V30" i="37" a="1"/>
  <c r="V30" i="37" s="1"/>
  <c r="U30" i="37" a="1"/>
  <c r="U30" i="37" s="1"/>
  <c r="T30" i="37" a="1"/>
  <c r="T30" i="37" s="1"/>
  <c r="S30" i="37" a="1"/>
  <c r="S30" i="37" s="1"/>
  <c r="R30" i="37" a="1"/>
  <c r="R30" i="37" s="1"/>
  <c r="Q30" i="37" a="1"/>
  <c r="Q30" i="37" s="1"/>
  <c r="P30" i="37" a="1"/>
  <c r="P30" i="37" s="1"/>
  <c r="O30" i="37" a="1"/>
  <c r="O30" i="37" s="1"/>
  <c r="N30" i="37" a="1"/>
  <c r="N30" i="37" s="1"/>
  <c r="M30" i="37" a="1"/>
  <c r="M30" i="37" s="1"/>
  <c r="W29" i="37" a="1"/>
  <c r="W29" i="37" s="1"/>
  <c r="V29" i="37" a="1"/>
  <c r="V29" i="37" s="1"/>
  <c r="U29" i="37" a="1"/>
  <c r="U29" i="37" s="1"/>
  <c r="T29" i="37" a="1"/>
  <c r="T29" i="37" s="1"/>
  <c r="S29" i="37" a="1"/>
  <c r="S29" i="37" s="1"/>
  <c r="R29" i="37" a="1"/>
  <c r="R29" i="37" s="1"/>
  <c r="Q29" i="37" a="1"/>
  <c r="Q29" i="37" s="1"/>
  <c r="P29" i="37" a="1"/>
  <c r="P29" i="37" s="1"/>
  <c r="O29" i="37" a="1"/>
  <c r="O29" i="37" s="1"/>
  <c r="N29" i="37" a="1"/>
  <c r="N29" i="37" s="1"/>
  <c r="M29" i="37" a="1"/>
  <c r="M29" i="37" s="1"/>
  <c r="W28" i="37" a="1"/>
  <c r="W28" i="37" s="1"/>
  <c r="V28" i="37" a="1"/>
  <c r="V28" i="37" s="1"/>
  <c r="U28" i="37" a="1"/>
  <c r="U28" i="37" s="1"/>
  <c r="T28" i="37" a="1"/>
  <c r="T28" i="37" s="1"/>
  <c r="S28" i="37" a="1"/>
  <c r="S28" i="37" s="1"/>
  <c r="R28" i="37" a="1"/>
  <c r="R28" i="37" s="1"/>
  <c r="Q28" i="37" a="1"/>
  <c r="Q28" i="37" s="1"/>
  <c r="P28" i="37" a="1"/>
  <c r="P28" i="37" s="1"/>
  <c r="O28" i="37" a="1"/>
  <c r="O28" i="37" s="1"/>
  <c r="N28" i="37" a="1"/>
  <c r="N28" i="37" s="1"/>
  <c r="M28" i="37" a="1"/>
  <c r="M28" i="37" s="1"/>
  <c r="W27" i="37" a="1"/>
  <c r="W27" i="37" s="1"/>
  <c r="V27" i="37" a="1"/>
  <c r="V27" i="37" s="1"/>
  <c r="U27" i="37" a="1"/>
  <c r="U27" i="37" s="1"/>
  <c r="T27" i="37" a="1"/>
  <c r="T27" i="37" s="1"/>
  <c r="S27" i="37" a="1"/>
  <c r="S27" i="37" s="1"/>
  <c r="R27" i="37" a="1"/>
  <c r="R27" i="37" s="1"/>
  <c r="Q27" i="37" a="1"/>
  <c r="Q27" i="37" s="1"/>
  <c r="P27" i="37" a="1"/>
  <c r="P27" i="37" s="1"/>
  <c r="O27" i="37" a="1"/>
  <c r="O27" i="37" s="1"/>
  <c r="N27" i="37" a="1"/>
  <c r="N27" i="37" s="1"/>
  <c r="M27" i="37" a="1"/>
  <c r="M27" i="37" s="1"/>
  <c r="W26" i="37" a="1"/>
  <c r="W26" i="37" s="1"/>
  <c r="V26" i="37" a="1"/>
  <c r="V26" i="37" s="1"/>
  <c r="U26" i="37" a="1"/>
  <c r="U26" i="37" s="1"/>
  <c r="T26" i="37" a="1"/>
  <c r="T26" i="37" s="1"/>
  <c r="S26" i="37" a="1"/>
  <c r="S26" i="37" s="1"/>
  <c r="R26" i="37" a="1"/>
  <c r="R26" i="37" s="1"/>
  <c r="Q26" i="37" a="1"/>
  <c r="Q26" i="37" s="1"/>
  <c r="P26" i="37" a="1"/>
  <c r="P26" i="37" s="1"/>
  <c r="O26" i="37" a="1"/>
  <c r="O26" i="37" s="1"/>
  <c r="N26" i="37" a="1"/>
  <c r="N26" i="37" s="1"/>
  <c r="M26" i="37" a="1"/>
  <c r="M26" i="37" s="1"/>
  <c r="W25" i="37" a="1"/>
  <c r="W25" i="37" s="1"/>
  <c r="V25" i="37" a="1"/>
  <c r="V25" i="37" s="1"/>
  <c r="U25" i="37" a="1"/>
  <c r="U25" i="37" s="1"/>
  <c r="T25" i="37" a="1"/>
  <c r="T25" i="37" s="1"/>
  <c r="S25" i="37" a="1"/>
  <c r="S25" i="37" s="1"/>
  <c r="R25" i="37" a="1"/>
  <c r="R25" i="37" s="1"/>
  <c r="Q25" i="37" a="1"/>
  <c r="Q25" i="37" s="1"/>
  <c r="P25" i="37" a="1"/>
  <c r="P25" i="37" s="1"/>
  <c r="O25" i="37" a="1"/>
  <c r="O25" i="37" s="1"/>
  <c r="N25" i="37" a="1"/>
  <c r="N25" i="37" s="1"/>
  <c r="M25" i="37" a="1"/>
  <c r="M25" i="37" s="1"/>
  <c r="W24" i="37" a="1"/>
  <c r="W24" i="37" s="1"/>
  <c r="V24" i="37" a="1"/>
  <c r="V24" i="37" s="1"/>
  <c r="U24" i="37" a="1"/>
  <c r="U24" i="37" s="1"/>
  <c r="T24" i="37" a="1"/>
  <c r="T24" i="37" s="1"/>
  <c r="S24" i="37" a="1"/>
  <c r="S24" i="37" s="1"/>
  <c r="R24" i="37" a="1"/>
  <c r="R24" i="37" s="1"/>
  <c r="Q24" i="37" a="1"/>
  <c r="Q24" i="37" s="1"/>
  <c r="P24" i="37" a="1"/>
  <c r="P24" i="37" s="1"/>
  <c r="O24" i="37" a="1"/>
  <c r="O24" i="37" s="1"/>
  <c r="M24" i="37" a="1"/>
  <c r="M24" i="37" s="1"/>
  <c r="W23" i="37" a="1"/>
  <c r="W23" i="37" s="1"/>
  <c r="V23" i="37" a="1"/>
  <c r="V23" i="37" s="1"/>
  <c r="U23" i="37" a="1"/>
  <c r="U23" i="37" s="1"/>
  <c r="T23" i="37" a="1"/>
  <c r="T23" i="37" s="1"/>
  <c r="S23" i="37" a="1"/>
  <c r="S23" i="37" s="1"/>
  <c r="R23" i="37" a="1"/>
  <c r="R23" i="37" s="1"/>
  <c r="Q23" i="37" a="1"/>
  <c r="Q23" i="37" s="1"/>
  <c r="P23" i="37" a="1"/>
  <c r="P23" i="37" s="1"/>
  <c r="O23" i="37" a="1"/>
  <c r="O23" i="37" s="1"/>
  <c r="N23" i="37" a="1"/>
  <c r="N23" i="37" s="1"/>
  <c r="M23" i="37" a="1"/>
  <c r="M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O16" i="37" a="1"/>
  <c r="O16" i="37" s="1"/>
  <c r="N16" i="37" a="1"/>
  <c r="N16" i="37" s="1"/>
  <c r="M16" i="37" a="1"/>
  <c r="M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O15" i="37" a="1"/>
  <c r="O15" i="37" s="1"/>
  <c r="N15" i="37" a="1"/>
  <c r="N15" i="37" s="1"/>
  <c r="M15" i="37" a="1"/>
  <c r="M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N11" i="37" a="1"/>
  <c r="N11" i="37" s="1"/>
  <c r="M11" i="37" a="1"/>
  <c r="M11" i="37" s="1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G20" i="37" l="1"/>
  <c r="G24" i="37"/>
  <c r="G26" i="37"/>
  <c r="B2" i="37"/>
  <c r="G22" i="37" l="1"/>
  <c r="CP110" i="37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60" i="37"/>
  <c r="CO60" i="37"/>
  <c r="CN60" i="37"/>
  <c r="CM60" i="37"/>
  <c r="CL60" i="37"/>
  <c r="CK60" i="37"/>
  <c r="CJ60" i="37"/>
  <c r="CI60" i="37"/>
  <c r="CH60" i="37"/>
  <c r="CG60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48" i="37"/>
  <c r="CO48" i="37"/>
  <c r="CN48" i="37"/>
  <c r="CM48" i="37"/>
  <c r="CL48" i="37"/>
  <c r="CK48" i="37"/>
  <c r="CJ48" i="37"/>
  <c r="CI48" i="37"/>
  <c r="CH48" i="37"/>
  <c r="CG48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37" i="37"/>
  <c r="CO37" i="37"/>
  <c r="CN37" i="37"/>
  <c r="CM37" i="37"/>
  <c r="CL37" i="37"/>
  <c r="CK37" i="37"/>
  <c r="CJ37" i="37"/>
  <c r="CI37" i="37"/>
  <c r="CH37" i="37"/>
  <c r="CG37" i="37"/>
  <c r="CP36" i="37"/>
  <c r="CO36" i="37"/>
  <c r="CN36" i="37"/>
  <c r="CM36" i="37"/>
  <c r="CL36" i="37"/>
  <c r="CK36" i="37"/>
  <c r="CJ36" i="37"/>
  <c r="CI36" i="37"/>
  <c r="CH36" i="37"/>
  <c r="CG36" i="37"/>
  <c r="CP35" i="37"/>
  <c r="CO35" i="37"/>
  <c r="CN35" i="37"/>
  <c r="CM35" i="37"/>
  <c r="CL35" i="37"/>
  <c r="CK35" i="37"/>
  <c r="CJ35" i="37"/>
  <c r="CI35" i="37"/>
  <c r="CH35" i="37"/>
  <c r="CG35" i="37"/>
  <c r="CP34" i="37"/>
  <c r="CO34" i="37"/>
  <c r="CN34" i="37"/>
  <c r="CM34" i="37"/>
  <c r="CL34" i="37"/>
  <c r="CK34" i="37"/>
  <c r="CJ34" i="37"/>
  <c r="CI34" i="37"/>
  <c r="CH34" i="37"/>
  <c r="CG34" i="37"/>
  <c r="CP33" i="37"/>
  <c r="CO33" i="37"/>
  <c r="CN33" i="37"/>
  <c r="CM33" i="37"/>
  <c r="CL33" i="37"/>
  <c r="CK33" i="37"/>
  <c r="CJ33" i="37"/>
  <c r="CI33" i="37"/>
  <c r="CH33" i="37"/>
  <c r="CG33" i="37"/>
  <c r="CP32" i="37"/>
  <c r="CO32" i="37"/>
  <c r="CN32" i="37"/>
  <c r="CM32" i="37"/>
  <c r="CL32" i="37"/>
  <c r="CK32" i="37"/>
  <c r="CJ32" i="37"/>
  <c r="CI32" i="37"/>
  <c r="CH32" i="37"/>
  <c r="CG32" i="37"/>
  <c r="CP31" i="37"/>
  <c r="CO31" i="37"/>
  <c r="CN31" i="37"/>
  <c r="CM31" i="37"/>
  <c r="CL31" i="37"/>
  <c r="CK31" i="37"/>
  <c r="CJ31" i="37"/>
  <c r="CI31" i="37"/>
  <c r="CH31" i="37"/>
  <c r="CG31" i="37"/>
  <c r="CP30" i="37"/>
  <c r="CO30" i="37"/>
  <c r="CN30" i="37"/>
  <c r="CM30" i="37"/>
  <c r="CL30" i="37"/>
  <c r="CK30" i="37"/>
  <c r="CJ30" i="37"/>
  <c r="CI30" i="37"/>
  <c r="CH30" i="37"/>
  <c r="CG30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11" i="37"/>
  <c r="CO11" i="37"/>
  <c r="CN11" i="37"/>
  <c r="CM11" i="37"/>
  <c r="CL11" i="37"/>
  <c r="CK11" i="37"/>
  <c r="CJ11" i="37"/>
  <c r="CI11" i="37"/>
  <c r="CH11" i="37"/>
  <c r="CG11" i="37"/>
  <c r="CP10" i="37"/>
  <c r="CO10" i="37"/>
  <c r="CN10" i="37"/>
  <c r="CM10" i="37"/>
  <c r="CL10" i="37"/>
  <c r="CK10" i="37"/>
  <c r="CJ10" i="37"/>
  <c r="CI10" i="37"/>
  <c r="CH10" i="37"/>
  <c r="CG10" i="37"/>
  <c r="CP9" i="37"/>
  <c r="CO9" i="37"/>
  <c r="CN9" i="37"/>
  <c r="CM9" i="37"/>
  <c r="CL9" i="37"/>
  <c r="CK9" i="37"/>
  <c r="CJ9" i="37"/>
  <c r="CI9" i="37"/>
  <c r="CH9" i="37"/>
  <c r="CG9" i="37"/>
  <c r="CP8" i="37"/>
  <c r="CO8" i="37"/>
  <c r="CN8" i="37"/>
  <c r="CM8" i="37"/>
  <c r="CL8" i="37"/>
  <c r="CK8" i="37"/>
  <c r="CJ8" i="37"/>
  <c r="CI8" i="37"/>
  <c r="CH8" i="37"/>
  <c r="CG8" i="37"/>
  <c r="CP21" i="37"/>
  <c r="CO21" i="37"/>
  <c r="CN21" i="37"/>
  <c r="CM21" i="37"/>
  <c r="CL21" i="37"/>
  <c r="CK21" i="37"/>
  <c r="CJ21" i="37"/>
  <c r="CI21" i="37"/>
  <c r="CH21" i="37"/>
  <c r="CG21" i="37"/>
  <c r="CP20" i="37"/>
  <c r="CO20" i="37"/>
  <c r="CN20" i="37"/>
  <c r="CM20" i="37"/>
  <c r="CL20" i="37"/>
  <c r="CK20" i="37"/>
  <c r="CJ20" i="37"/>
  <c r="CI20" i="37"/>
  <c r="CH20" i="37"/>
  <c r="CG20" i="37"/>
  <c r="CP14" i="37"/>
  <c r="CO14" i="37"/>
  <c r="CN14" i="37"/>
  <c r="CM14" i="37"/>
  <c r="CL14" i="37"/>
  <c r="CK14" i="37"/>
  <c r="CJ14" i="37"/>
  <c r="CI14" i="37"/>
  <c r="CH14" i="37"/>
  <c r="CG14" i="37"/>
  <c r="CP13" i="37"/>
  <c r="CO13" i="37"/>
  <c r="CN13" i="37"/>
  <c r="CM13" i="37"/>
  <c r="CL13" i="37"/>
  <c r="CK13" i="37"/>
  <c r="CJ13" i="37"/>
  <c r="CI13" i="37"/>
  <c r="CH13" i="37"/>
  <c r="CG13" i="37"/>
  <c r="CP18" i="37"/>
  <c r="CO18" i="37"/>
  <c r="CN18" i="37"/>
  <c r="CM18" i="37"/>
  <c r="CL18" i="37"/>
  <c r="CK18" i="37"/>
  <c r="CJ18" i="37"/>
  <c r="CI18" i="37"/>
  <c r="CH18" i="37"/>
  <c r="CG18" i="37"/>
  <c r="CP17" i="37"/>
  <c r="CO17" i="37"/>
  <c r="CN17" i="37"/>
  <c r="CM17" i="37"/>
  <c r="CL17" i="37"/>
  <c r="CK17" i="37"/>
  <c r="CJ17" i="37"/>
  <c r="CI17" i="37"/>
  <c r="CH17" i="37"/>
  <c r="CG17" i="37"/>
  <c r="CP19" i="37"/>
  <c r="CO19" i="37"/>
  <c r="CN19" i="37"/>
  <c r="CM19" i="37"/>
  <c r="CL19" i="37"/>
  <c r="CK19" i="37"/>
  <c r="CJ19" i="37"/>
  <c r="CI19" i="37"/>
  <c r="CH19" i="37"/>
  <c r="CG19" i="37"/>
  <c r="CP12" i="37"/>
  <c r="CO12" i="37"/>
  <c r="CN12" i="37"/>
  <c r="CM12" i="37"/>
  <c r="CL12" i="37"/>
  <c r="CK12" i="37"/>
  <c r="CJ12" i="37"/>
  <c r="CI12" i="37"/>
  <c r="CH12" i="37"/>
  <c r="CG12" i="37"/>
  <c r="CP16" i="37"/>
  <c r="CO16" i="37"/>
  <c r="CN16" i="37"/>
  <c r="CM16" i="37"/>
  <c r="CL16" i="37"/>
  <c r="CK16" i="37"/>
  <c r="CJ16" i="37"/>
  <c r="CI16" i="37"/>
  <c r="CH16" i="37"/>
  <c r="CG16" i="37"/>
  <c r="CU110" i="37"/>
  <c r="CT110" i="37"/>
  <c r="CS110" i="37"/>
  <c r="CR110" i="37"/>
  <c r="CU109" i="37"/>
  <c r="CT109" i="37"/>
  <c r="CS109" i="37"/>
  <c r="CR109" i="37"/>
  <c r="CU108" i="37"/>
  <c r="CT108" i="37"/>
  <c r="CS108" i="37"/>
  <c r="CR108" i="37"/>
  <c r="CU107" i="37"/>
  <c r="CT107" i="37"/>
  <c r="CS107" i="37"/>
  <c r="CR107" i="37"/>
  <c r="CU106" i="37"/>
  <c r="CT106" i="37"/>
  <c r="CS106" i="37"/>
  <c r="CR106" i="37"/>
  <c r="CU105" i="37"/>
  <c r="CT105" i="37"/>
  <c r="CS105" i="37"/>
  <c r="CR105" i="37"/>
  <c r="CU104" i="37"/>
  <c r="CT104" i="37"/>
  <c r="CS104" i="37"/>
  <c r="CR104" i="37"/>
  <c r="CU103" i="37"/>
  <c r="CT103" i="37"/>
  <c r="CS103" i="37"/>
  <c r="CR103" i="37"/>
  <c r="CU102" i="37"/>
  <c r="CT102" i="37"/>
  <c r="CS102" i="37"/>
  <c r="CR102" i="37"/>
  <c r="CU101" i="37"/>
  <c r="CT101" i="37"/>
  <c r="CS101" i="37"/>
  <c r="CR101" i="37"/>
  <c r="CU100" i="37"/>
  <c r="CT100" i="37"/>
  <c r="CS100" i="37"/>
  <c r="CR100" i="37"/>
  <c r="CU99" i="37"/>
  <c r="CT99" i="37"/>
  <c r="CS99" i="37"/>
  <c r="CR99" i="37"/>
  <c r="CU98" i="37"/>
  <c r="CT98" i="37"/>
  <c r="CS98" i="37"/>
  <c r="CR98" i="37"/>
  <c r="CU97" i="37"/>
  <c r="CT97" i="37"/>
  <c r="CS97" i="37"/>
  <c r="CR97" i="37"/>
  <c r="CU96" i="37"/>
  <c r="CT96" i="37"/>
  <c r="CS96" i="37"/>
  <c r="CR96" i="37"/>
  <c r="CU95" i="37"/>
  <c r="CT95" i="37"/>
  <c r="CS95" i="37"/>
  <c r="CR95" i="37"/>
  <c r="CU94" i="37"/>
  <c r="CT94" i="37"/>
  <c r="CS94" i="37"/>
  <c r="CR94" i="37"/>
  <c r="CU93" i="37"/>
  <c r="CT93" i="37"/>
  <c r="CS93" i="37"/>
  <c r="CR93" i="37"/>
  <c r="CU92" i="37"/>
  <c r="CT92" i="37"/>
  <c r="CS92" i="37"/>
  <c r="CR92" i="37"/>
  <c r="CU91" i="37"/>
  <c r="CT91" i="37"/>
  <c r="CS91" i="37"/>
  <c r="CR91" i="37"/>
  <c r="CU90" i="37"/>
  <c r="CT90" i="37"/>
  <c r="CS90" i="37"/>
  <c r="CR90" i="37"/>
  <c r="CU89" i="37"/>
  <c r="CT89" i="37"/>
  <c r="CS89" i="37"/>
  <c r="CR89" i="37"/>
  <c r="CU88" i="37"/>
  <c r="CT88" i="37"/>
  <c r="CS88" i="37"/>
  <c r="CR88" i="37"/>
  <c r="CU87" i="37"/>
  <c r="CT87" i="37"/>
  <c r="CS87" i="37"/>
  <c r="CR87" i="37"/>
  <c r="CU86" i="37"/>
  <c r="CT86" i="37"/>
  <c r="CS86" i="37"/>
  <c r="CR86" i="37"/>
  <c r="CU85" i="37"/>
  <c r="CT85" i="37"/>
  <c r="CS85" i="37"/>
  <c r="CR85" i="37"/>
  <c r="CU84" i="37"/>
  <c r="CT84" i="37"/>
  <c r="CS84" i="37"/>
  <c r="CR84" i="37"/>
  <c r="CU83" i="37"/>
  <c r="CT83" i="37"/>
  <c r="CS83" i="37"/>
  <c r="CR83" i="37"/>
  <c r="CU82" i="37"/>
  <c r="CT82" i="37"/>
  <c r="CS82" i="37"/>
  <c r="CR82" i="37"/>
  <c r="CU81" i="37"/>
  <c r="CT81" i="37"/>
  <c r="CS81" i="37"/>
  <c r="CR81" i="37"/>
  <c r="CU80" i="37"/>
  <c r="CT80" i="37"/>
  <c r="CS80" i="37"/>
  <c r="CR80" i="37"/>
  <c r="CU79" i="37"/>
  <c r="CT79" i="37"/>
  <c r="CS79" i="37"/>
  <c r="CR79" i="37"/>
  <c r="CU78" i="37"/>
  <c r="CT78" i="37"/>
  <c r="CS78" i="37"/>
  <c r="CR78" i="37"/>
  <c r="CU77" i="37"/>
  <c r="CT77" i="37"/>
  <c r="CS77" i="37"/>
  <c r="CR77" i="37"/>
  <c r="CU76" i="37"/>
  <c r="CT76" i="37"/>
  <c r="CS76" i="37"/>
  <c r="CR76" i="37"/>
  <c r="CU75" i="37"/>
  <c r="CT75" i="37"/>
  <c r="CS75" i="37"/>
  <c r="CR75" i="37"/>
  <c r="CU74" i="37"/>
  <c r="CT74" i="37"/>
  <c r="CS74" i="37"/>
  <c r="CR74" i="37"/>
  <c r="CU73" i="37"/>
  <c r="CT73" i="37"/>
  <c r="CS73" i="37"/>
  <c r="CR73" i="37"/>
  <c r="CU72" i="37"/>
  <c r="CT72" i="37"/>
  <c r="CS72" i="37"/>
  <c r="CR72" i="37"/>
  <c r="CU71" i="37"/>
  <c r="CT71" i="37"/>
  <c r="CS71" i="37"/>
  <c r="CR71" i="37"/>
  <c r="CU70" i="37"/>
  <c r="CT70" i="37"/>
  <c r="CS70" i="37"/>
  <c r="CR70" i="37"/>
  <c r="CU69" i="37"/>
  <c r="CT69" i="37"/>
  <c r="CS69" i="37"/>
  <c r="CR69" i="37"/>
  <c r="CU68" i="37"/>
  <c r="CT68" i="37"/>
  <c r="CS68" i="37"/>
  <c r="CR68" i="37"/>
  <c r="CU67" i="37"/>
  <c r="CT67" i="37"/>
  <c r="CS67" i="37"/>
  <c r="CR67" i="37"/>
  <c r="CU66" i="37"/>
  <c r="CT66" i="37"/>
  <c r="CS66" i="37"/>
  <c r="CR66" i="37"/>
  <c r="CU65" i="37"/>
  <c r="CT65" i="37"/>
  <c r="CS65" i="37"/>
  <c r="CR65" i="37"/>
  <c r="CU64" i="37"/>
  <c r="CT64" i="37"/>
  <c r="CS64" i="37"/>
  <c r="CR64" i="37"/>
  <c r="CU63" i="37"/>
  <c r="CT63" i="37"/>
  <c r="CS63" i="37"/>
  <c r="CR63" i="37"/>
  <c r="CU62" i="37"/>
  <c r="CT62" i="37"/>
  <c r="CS62" i="37"/>
  <c r="CR62" i="37"/>
  <c r="CU61" i="37"/>
  <c r="CT61" i="37"/>
  <c r="CS61" i="37"/>
  <c r="CR61" i="37"/>
  <c r="CU60" i="37"/>
  <c r="CT60" i="37"/>
  <c r="CS60" i="37"/>
  <c r="CR60" i="37"/>
  <c r="CU59" i="37"/>
  <c r="CT59" i="37"/>
  <c r="CS59" i="37"/>
  <c r="CR59" i="37"/>
  <c r="CU58" i="37"/>
  <c r="CT58" i="37"/>
  <c r="CS58" i="37"/>
  <c r="CR58" i="37"/>
  <c r="CU57" i="37"/>
  <c r="CT57" i="37"/>
  <c r="CS57" i="37"/>
  <c r="CR57" i="37"/>
  <c r="CU56" i="37"/>
  <c r="CT56" i="37"/>
  <c r="CS56" i="37"/>
  <c r="CR56" i="37"/>
  <c r="CU55" i="37"/>
  <c r="CT55" i="37"/>
  <c r="CS55" i="37"/>
  <c r="CR55" i="37"/>
  <c r="CU54" i="37"/>
  <c r="CT54" i="37"/>
  <c r="CS54" i="37"/>
  <c r="CR54" i="37"/>
  <c r="CU53" i="37"/>
  <c r="CT53" i="37"/>
  <c r="CS53" i="37"/>
  <c r="CR53" i="37"/>
  <c r="CU52" i="37"/>
  <c r="CT52" i="37"/>
  <c r="CS52" i="37"/>
  <c r="CR52" i="37"/>
  <c r="CU51" i="37"/>
  <c r="CT51" i="37"/>
  <c r="CS51" i="37"/>
  <c r="CR51" i="37"/>
  <c r="CU50" i="37"/>
  <c r="CT50" i="37"/>
  <c r="CS50" i="37"/>
  <c r="CR50" i="37"/>
  <c r="CU49" i="37"/>
  <c r="CT49" i="37"/>
  <c r="CS49" i="37"/>
  <c r="CR49" i="37"/>
  <c r="CU48" i="37"/>
  <c r="CT48" i="37"/>
  <c r="CS48" i="37"/>
  <c r="CR48" i="37"/>
  <c r="CU47" i="37"/>
  <c r="CT47" i="37"/>
  <c r="CS47" i="37"/>
  <c r="CR47" i="37"/>
  <c r="CU46" i="37"/>
  <c r="CT46" i="37"/>
  <c r="CS46" i="37"/>
  <c r="CR46" i="37"/>
  <c r="CU45" i="37"/>
  <c r="CT45" i="37"/>
  <c r="CS45" i="37"/>
  <c r="CR45" i="37"/>
  <c r="CU44" i="37"/>
  <c r="CT44" i="37"/>
  <c r="CS44" i="37"/>
  <c r="CR44" i="37"/>
  <c r="CU43" i="37"/>
  <c r="CT43" i="37"/>
  <c r="CS43" i="37"/>
  <c r="CR43" i="37"/>
  <c r="CU42" i="37"/>
  <c r="CT42" i="37"/>
  <c r="CS42" i="37"/>
  <c r="CR42" i="37"/>
  <c r="CU41" i="37"/>
  <c r="CT41" i="37"/>
  <c r="CS41" i="37"/>
  <c r="CR41" i="37"/>
  <c r="CU40" i="37"/>
  <c r="CT40" i="37"/>
  <c r="CS40" i="37"/>
  <c r="CR40" i="37"/>
  <c r="CU39" i="37"/>
  <c r="CT39" i="37"/>
  <c r="CS39" i="37"/>
  <c r="CR39" i="37"/>
  <c r="CU38" i="37"/>
  <c r="CT38" i="37"/>
  <c r="CS38" i="37"/>
  <c r="CR38" i="37"/>
  <c r="CU37" i="37"/>
  <c r="CT37" i="37"/>
  <c r="CS37" i="37"/>
  <c r="CR37" i="37"/>
  <c r="CU36" i="37"/>
  <c r="CT36" i="37"/>
  <c r="CS36" i="37"/>
  <c r="CR36" i="37"/>
  <c r="CU35" i="37"/>
  <c r="CT35" i="37"/>
  <c r="CS35" i="37"/>
  <c r="CR35" i="37"/>
  <c r="CU34" i="37"/>
  <c r="CT34" i="37"/>
  <c r="CS34" i="37"/>
  <c r="CR34" i="37"/>
  <c r="CU33" i="37"/>
  <c r="CT33" i="37"/>
  <c r="CS33" i="37"/>
  <c r="CR33" i="37"/>
  <c r="CU32" i="37"/>
  <c r="CT32" i="37"/>
  <c r="CS32" i="37"/>
  <c r="CR32" i="37"/>
  <c r="CT31" i="37"/>
  <c r="CT30" i="37"/>
  <c r="CT29" i="37"/>
  <c r="CT28" i="37"/>
  <c r="CT27" i="37"/>
  <c r="CT26" i="37"/>
  <c r="CT25" i="37"/>
  <c r="CT24" i="37"/>
  <c r="CT23" i="37"/>
  <c r="CT22" i="37"/>
  <c r="CT11" i="37"/>
  <c r="CT10" i="37"/>
  <c r="CT9" i="37"/>
  <c r="CT8" i="37"/>
  <c r="CT21" i="37"/>
  <c r="CT20" i="37"/>
  <c r="CT14" i="37"/>
  <c r="CT13" i="37"/>
  <c r="CT18" i="37"/>
  <c r="CT17" i="37"/>
  <c r="CT12" i="37"/>
  <c r="CT19" i="37"/>
  <c r="CT16" i="37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5" i="37"/>
  <c r="CA24" i="37"/>
  <c r="CA23" i="37"/>
  <c r="CA22" i="37"/>
  <c r="CA11" i="37"/>
  <c r="CA10" i="37"/>
  <c r="CA9" i="37"/>
  <c r="CA8" i="37"/>
  <c r="CA21" i="37"/>
  <c r="CA20" i="37"/>
  <c r="CA14" i="37"/>
  <c r="CA13" i="37"/>
  <c r="CA18" i="37"/>
  <c r="CA17" i="37"/>
  <c r="CA12" i="37"/>
  <c r="CA19" i="37"/>
  <c r="CA16" i="37"/>
  <c r="EF500" i="37" a="1"/>
  <c r="EF500" i="37" s="1"/>
  <c r="EE500" i="37" a="1"/>
  <c r="EE500" i="37" s="1"/>
  <c r="EF499" i="37" a="1"/>
  <c r="EF499" i="37" s="1"/>
  <c r="EE499" i="37" a="1"/>
  <c r="EE499" i="37" s="1"/>
  <c r="EF498" i="37" a="1"/>
  <c r="EF498" i="37" s="1"/>
  <c r="EE498" i="37" a="1"/>
  <c r="EE498" i="37" s="1"/>
  <c r="EF497" i="37" a="1"/>
  <c r="EF497" i="37" s="1"/>
  <c r="EE497" i="37" a="1"/>
  <c r="EE497" i="37" s="1"/>
  <c r="EF496" i="37" a="1"/>
  <c r="EF496" i="37" s="1"/>
  <c r="EE496" i="37" a="1"/>
  <c r="EE496" i="37" s="1"/>
  <c r="EF495" i="37" a="1"/>
  <c r="EF495" i="37" s="1"/>
  <c r="EE495" i="37" a="1"/>
  <c r="EE495" i="37" s="1"/>
  <c r="EF494" i="37" a="1"/>
  <c r="EF494" i="37" s="1"/>
  <c r="EE494" i="37" a="1"/>
  <c r="EE494" i="37" s="1"/>
  <c r="EF493" i="37" a="1"/>
  <c r="EF493" i="37" s="1"/>
  <c r="EE493" i="37" a="1"/>
  <c r="EE493" i="37" s="1"/>
  <c r="EF492" i="37" a="1"/>
  <c r="EF492" i="37" s="1"/>
  <c r="EE492" i="37" a="1"/>
  <c r="EE492" i="37" s="1"/>
  <c r="EI492" i="37" s="1"/>
  <c r="EF491" i="37" a="1"/>
  <c r="EF491" i="37" s="1"/>
  <c r="EE491" i="37" a="1"/>
  <c r="EE491" i="37" s="1"/>
  <c r="EK491" i="37" s="1"/>
  <c r="EF490" i="37" a="1"/>
  <c r="EF490" i="37" s="1"/>
  <c r="EE490" i="37" a="1"/>
  <c r="EE490" i="37" s="1"/>
  <c r="EF489" i="37" a="1"/>
  <c r="EF489" i="37" s="1"/>
  <c r="EE489" i="37" a="1"/>
  <c r="EE489" i="37" s="1"/>
  <c r="EK489" i="37" s="1"/>
  <c r="EF488" i="37" a="1"/>
  <c r="EF488" i="37" s="1"/>
  <c r="EE488" i="37" a="1"/>
  <c r="EE488" i="37" s="1"/>
  <c r="EF487" i="37" a="1"/>
  <c r="EF487" i="37" s="1"/>
  <c r="EE487" i="37" a="1"/>
  <c r="EE487" i="37" s="1"/>
  <c r="EF486" i="37" a="1"/>
  <c r="EF486" i="37" s="1"/>
  <c r="EE486" i="37" a="1"/>
  <c r="EE486" i="37" s="1"/>
  <c r="EF485" i="37" a="1"/>
  <c r="EF485" i="37" s="1"/>
  <c r="EE485" i="37" a="1"/>
  <c r="EE485" i="37" s="1"/>
  <c r="EF484" i="37" a="1"/>
  <c r="EF484" i="37" s="1"/>
  <c r="EE484" i="37" a="1"/>
  <c r="EE484" i="37" s="1"/>
  <c r="EF483" i="37" a="1"/>
  <c r="EF483" i="37" s="1"/>
  <c r="EE483" i="37" a="1"/>
  <c r="EE483" i="37" s="1"/>
  <c r="EF482" i="37" a="1"/>
  <c r="EF482" i="37" s="1"/>
  <c r="EE482" i="37" a="1"/>
  <c r="EE482" i="37" s="1"/>
  <c r="EI482" i="37" s="1"/>
  <c r="EF481" i="37" a="1"/>
  <c r="EF481" i="37" s="1"/>
  <c r="EE481" i="37" a="1"/>
  <c r="EE481" i="37" s="1"/>
  <c r="EF480" i="37" a="1"/>
  <c r="EF480" i="37" s="1"/>
  <c r="EE480" i="37" a="1"/>
  <c r="EE480" i="37" s="1"/>
  <c r="EF479" i="37" a="1"/>
  <c r="EF479" i="37" s="1"/>
  <c r="EE479" i="37" a="1"/>
  <c r="EE479" i="37" s="1"/>
  <c r="EK479" i="37" s="1"/>
  <c r="EF478" i="37" a="1"/>
  <c r="EF478" i="37" s="1"/>
  <c r="EE478" i="37" a="1"/>
  <c r="EE478" i="37" s="1"/>
  <c r="EF477" i="37" a="1"/>
  <c r="EF477" i="37" s="1"/>
  <c r="EE477" i="37" a="1"/>
  <c r="EE477" i="37" s="1"/>
  <c r="EK477" i="37" s="1"/>
  <c r="EF476" i="37" a="1"/>
  <c r="EF476" i="37" s="1"/>
  <c r="EE476" i="37" a="1"/>
  <c r="EE476" i="37" s="1"/>
  <c r="EF475" i="37" a="1"/>
  <c r="EF475" i="37" s="1"/>
  <c r="EE475" i="37" a="1"/>
  <c r="EE475" i="37" s="1"/>
  <c r="EF474" i="37" a="1"/>
  <c r="EF474" i="37" s="1"/>
  <c r="EE474" i="37" a="1"/>
  <c r="EE474" i="37" s="1"/>
  <c r="EF473" i="37" a="1"/>
  <c r="EF473" i="37" s="1"/>
  <c r="EE473" i="37" a="1"/>
  <c r="EE473" i="37" s="1"/>
  <c r="EF472" i="37" a="1"/>
  <c r="EF472" i="37" s="1"/>
  <c r="EE472" i="37" a="1"/>
  <c r="EE472" i="37" s="1"/>
  <c r="EF471" i="37" a="1"/>
  <c r="EF471" i="37" s="1"/>
  <c r="EE471" i="37" a="1"/>
  <c r="EE471" i="37" s="1"/>
  <c r="EF470" i="37" a="1"/>
  <c r="EF470" i="37" s="1"/>
  <c r="EE470" i="37" a="1"/>
  <c r="EE470" i="37" s="1"/>
  <c r="EI470" i="37" s="1"/>
  <c r="EF469" i="37" a="1"/>
  <c r="EF469" i="37" s="1"/>
  <c r="EE469" i="37" a="1"/>
  <c r="EE469" i="37" s="1"/>
  <c r="EF468" i="37" a="1"/>
  <c r="EF468" i="37" s="1"/>
  <c r="EE468" i="37" a="1"/>
  <c r="EE468" i="37" s="1"/>
  <c r="EF467" i="37" a="1"/>
  <c r="EF467" i="37" s="1"/>
  <c r="EE467" i="37" a="1"/>
  <c r="EE467" i="37" s="1"/>
  <c r="EK467" i="37" s="1"/>
  <c r="EF466" i="37" a="1"/>
  <c r="EF466" i="37" s="1"/>
  <c r="EE466" i="37" a="1"/>
  <c r="EE466" i="37" s="1"/>
  <c r="EF465" i="37" a="1"/>
  <c r="EF465" i="37" s="1"/>
  <c r="EE465" i="37" a="1"/>
  <c r="EE465" i="37" s="1"/>
  <c r="EK465" i="37" s="1"/>
  <c r="EF464" i="37" a="1"/>
  <c r="EF464" i="37" s="1"/>
  <c r="EE464" i="37" a="1"/>
  <c r="EE464" i="37" s="1"/>
  <c r="EF463" i="37" a="1"/>
  <c r="EF463" i="37" s="1"/>
  <c r="EE463" i="37" a="1"/>
  <c r="EE463" i="37" s="1"/>
  <c r="EF462" i="37" a="1"/>
  <c r="EF462" i="37" s="1"/>
  <c r="EE462" i="37" a="1"/>
  <c r="EE462" i="37" s="1"/>
  <c r="EF461" i="37" a="1"/>
  <c r="EF461" i="37" s="1"/>
  <c r="EE461" i="37" a="1"/>
  <c r="EE461" i="37" s="1"/>
  <c r="EF460" i="37" a="1"/>
  <c r="EF460" i="37" s="1"/>
  <c r="EE460" i="37" a="1"/>
  <c r="EE460" i="37" s="1"/>
  <c r="EF459" i="37" a="1"/>
  <c r="EF459" i="37" s="1"/>
  <c r="EE459" i="37" a="1"/>
  <c r="EE459" i="37" s="1"/>
  <c r="EI459" i="37" s="1"/>
  <c r="EF458" i="37" a="1"/>
  <c r="EF458" i="37" s="1"/>
  <c r="EE458" i="37" a="1"/>
  <c r="EE458" i="37" s="1"/>
  <c r="EF457" i="37" a="1"/>
  <c r="EF457" i="37" s="1"/>
  <c r="EE457" i="37" a="1"/>
  <c r="EE457" i="37" s="1"/>
  <c r="EF456" i="37" a="1"/>
  <c r="EF456" i="37" s="1"/>
  <c r="EE456" i="37" a="1"/>
  <c r="EE456" i="37" s="1"/>
  <c r="EF455" i="37" a="1"/>
  <c r="EF455" i="37" s="1"/>
  <c r="EE455" i="37" a="1"/>
  <c r="EE455" i="37" s="1"/>
  <c r="EK455" i="37" s="1"/>
  <c r="EF454" i="37" a="1"/>
  <c r="EF454" i="37" s="1"/>
  <c r="EE454" i="37" a="1"/>
  <c r="EE454" i="37" s="1"/>
  <c r="EF453" i="37" a="1"/>
  <c r="EF453" i="37" s="1"/>
  <c r="EE453" i="37" a="1"/>
  <c r="EE453" i="37" s="1"/>
  <c r="EK453" i="37" s="1"/>
  <c r="EF452" i="37" a="1"/>
  <c r="EF452" i="37" s="1"/>
  <c r="EE452" i="37" a="1"/>
  <c r="EE452" i="37" s="1"/>
  <c r="EF451" i="37" a="1"/>
  <c r="EF451" i="37" s="1"/>
  <c r="EE451" i="37" a="1"/>
  <c r="EE451" i="37" s="1"/>
  <c r="EF450" i="37" a="1"/>
  <c r="EF450" i="37" s="1"/>
  <c r="EE450" i="37" a="1"/>
  <c r="EE450" i="37" s="1"/>
  <c r="EF449" i="37" a="1"/>
  <c r="EF449" i="37" s="1"/>
  <c r="EE449" i="37" a="1"/>
  <c r="EE449" i="37" s="1"/>
  <c r="EF448" i="37" a="1"/>
  <c r="EF448" i="37" s="1"/>
  <c r="EE448" i="37" a="1"/>
  <c r="EE448" i="37" s="1"/>
  <c r="EF447" i="37" a="1"/>
  <c r="EF447" i="37" s="1"/>
  <c r="EE447" i="37" a="1"/>
  <c r="EE447" i="37" s="1"/>
  <c r="EI447" i="37" s="1"/>
  <c r="EF446" i="37" a="1"/>
  <c r="EF446" i="37" s="1"/>
  <c r="EE446" i="37" a="1"/>
  <c r="EE446" i="37" s="1"/>
  <c r="EF445" i="37" a="1"/>
  <c r="EF445" i="37" s="1"/>
  <c r="EE445" i="37" a="1"/>
  <c r="EE445" i="37" s="1"/>
  <c r="EI445" i="37" s="1"/>
  <c r="EF444" i="37" a="1"/>
  <c r="EF444" i="37" s="1"/>
  <c r="EE444" i="37" a="1"/>
  <c r="EE444" i="37" s="1"/>
  <c r="EF443" i="37" a="1"/>
  <c r="EF443" i="37" s="1"/>
  <c r="EE443" i="37" a="1"/>
  <c r="EE443" i="37" s="1"/>
  <c r="EK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K441" i="37" s="1"/>
  <c r="EF440" i="37" a="1"/>
  <c r="EF440" i="37" s="1"/>
  <c r="EE440" i="37" a="1"/>
  <c r="EE440" i="37" s="1"/>
  <c r="EK440" i="37" s="1"/>
  <c r="EF439" i="37" a="1"/>
  <c r="EF439" i="37" s="1"/>
  <c r="EE439" i="37" a="1"/>
  <c r="EE439" i="37" s="1"/>
  <c r="EF438" i="37" a="1"/>
  <c r="EF438" i="37" s="1"/>
  <c r="EE438" i="37" a="1"/>
  <c r="EE438" i="37" s="1"/>
  <c r="EF437" i="37" a="1"/>
  <c r="EF437" i="37" s="1"/>
  <c r="EE437" i="37" a="1"/>
  <c r="EE437" i="37" s="1"/>
  <c r="EF436" i="37" a="1"/>
  <c r="EF436" i="37" s="1"/>
  <c r="EE436" i="37" a="1"/>
  <c r="EE436" i="37" s="1"/>
  <c r="EF435" i="37" a="1"/>
  <c r="EF435" i="37" s="1"/>
  <c r="EE435" i="37" a="1"/>
  <c r="EE435" i="37" s="1"/>
  <c r="EF434" i="37" a="1"/>
  <c r="EF434" i="37" s="1"/>
  <c r="EE434" i="37" a="1"/>
  <c r="EE434" i="37" s="1"/>
  <c r="EF433" i="37" a="1"/>
  <c r="EF433" i="37" s="1"/>
  <c r="EE433" i="37" a="1"/>
  <c r="EE433" i="37" s="1"/>
  <c r="EF432" i="37" a="1"/>
  <c r="EF432" i="37" s="1"/>
  <c r="EE432" i="37" a="1"/>
  <c r="EE432" i="37" s="1"/>
  <c r="EF431" i="37" a="1"/>
  <c r="EF431" i="37" s="1"/>
  <c r="EE431" i="37" a="1"/>
  <c r="EE431" i="37" s="1"/>
  <c r="EK431" i="37" s="1"/>
  <c r="EF430" i="37" a="1"/>
  <c r="EF430" i="37" s="1"/>
  <c r="EE430" i="37" a="1"/>
  <c r="EE430" i="37" s="1"/>
  <c r="EF429" i="37" a="1"/>
  <c r="EF429" i="37" s="1"/>
  <c r="EE429" i="37" a="1"/>
  <c r="EE429" i="37" s="1"/>
  <c r="EK429" i="37" s="1"/>
  <c r="EF428" i="37" a="1"/>
  <c r="EF428" i="37" s="1"/>
  <c r="EE428" i="37" a="1"/>
  <c r="EE428" i="37" s="1"/>
  <c r="EF427" i="37" a="1"/>
  <c r="EF427" i="37" s="1"/>
  <c r="EE427" i="37" a="1"/>
  <c r="EE427" i="37" s="1"/>
  <c r="EF426" i="37" a="1"/>
  <c r="EF426" i="37" s="1"/>
  <c r="EE426" i="37" a="1"/>
  <c r="EE426" i="37" s="1"/>
  <c r="EF425" i="37" a="1"/>
  <c r="EF425" i="37" s="1"/>
  <c r="EE425" i="37" a="1"/>
  <c r="EE425" i="37" s="1"/>
  <c r="EF424" i="37" a="1"/>
  <c r="EF424" i="37" s="1"/>
  <c r="EE424" i="37" a="1"/>
  <c r="EE424" i="37" s="1"/>
  <c r="EF423" i="37" a="1"/>
  <c r="EF423" i="37" s="1"/>
  <c r="EE423" i="37" a="1"/>
  <c r="EE423" i="37" s="1"/>
  <c r="EF422" i="37" a="1"/>
  <c r="EF422" i="37" s="1"/>
  <c r="EE422" i="37" a="1"/>
  <c r="EE422" i="37" s="1"/>
  <c r="EF421" i="37" a="1"/>
  <c r="EF421" i="37" s="1"/>
  <c r="EE421" i="37" a="1"/>
  <c r="EE421" i="37" s="1"/>
  <c r="EI421" i="37" s="1"/>
  <c r="EF420" i="37" a="1"/>
  <c r="EF420" i="37" s="1"/>
  <c r="EE420" i="37" a="1"/>
  <c r="EE420" i="37" s="1"/>
  <c r="EF419" i="37" a="1"/>
  <c r="EF419" i="37" s="1"/>
  <c r="EE419" i="37" a="1"/>
  <c r="EE419" i="37" s="1"/>
  <c r="EK419" i="37" s="1"/>
  <c r="EF418" i="37" a="1"/>
  <c r="EF418" i="37" s="1"/>
  <c r="EE418" i="37" a="1"/>
  <c r="EE418" i="37" s="1"/>
  <c r="EF417" i="37" a="1"/>
  <c r="EF417" i="37" s="1"/>
  <c r="EE417" i="37" a="1"/>
  <c r="EE417" i="37" s="1"/>
  <c r="EK417" i="37" s="1"/>
  <c r="EF416" i="37" a="1"/>
  <c r="EF416" i="37" s="1"/>
  <c r="EE416" i="37" a="1"/>
  <c r="EE416" i="37" s="1"/>
  <c r="EF415" i="37" a="1"/>
  <c r="EF415" i="37" s="1"/>
  <c r="EE415" i="37" a="1"/>
  <c r="EE415" i="37" s="1"/>
  <c r="EF414" i="37" a="1"/>
  <c r="EF414" i="37" s="1"/>
  <c r="EE414" i="37" a="1"/>
  <c r="EE414" i="37" s="1"/>
  <c r="EF413" i="37" a="1"/>
  <c r="EF413" i="37" s="1"/>
  <c r="EE413" i="37" a="1"/>
  <c r="EE413" i="37" s="1"/>
  <c r="EF412" i="37" a="1"/>
  <c r="EF412" i="37" s="1"/>
  <c r="EE412" i="37" a="1"/>
  <c r="EE412" i="37" s="1"/>
  <c r="EF411" i="37" a="1"/>
  <c r="EF411" i="37" s="1"/>
  <c r="EE411" i="37" a="1"/>
  <c r="EE411" i="37" s="1"/>
  <c r="EF410" i="37" a="1"/>
  <c r="EF410" i="37" s="1"/>
  <c r="EE410" i="37" a="1"/>
  <c r="EE410" i="37" s="1"/>
  <c r="EF409" i="37" a="1"/>
  <c r="EF409" i="37" s="1"/>
  <c r="EE409" i="37" a="1"/>
  <c r="EE409" i="37" s="1"/>
  <c r="EF408" i="37" a="1"/>
  <c r="EF408" i="37" s="1"/>
  <c r="EE408" i="37" a="1"/>
  <c r="EE408" i="37" s="1"/>
  <c r="EF407" i="37" a="1"/>
  <c r="EF407" i="37" s="1"/>
  <c r="EE407" i="37" a="1"/>
  <c r="EE407" i="37" s="1"/>
  <c r="EF406" i="37" a="1"/>
  <c r="EF406" i="37" s="1"/>
  <c r="EE406" i="37" a="1"/>
  <c r="EE406" i="37" s="1"/>
  <c r="EF405" i="37" a="1"/>
  <c r="EF405" i="37" s="1"/>
  <c r="EE405" i="37" a="1"/>
  <c r="EE405" i="37" s="1"/>
  <c r="EK405" i="37" s="1"/>
  <c r="EF404" i="37" a="1"/>
  <c r="EF404" i="37" s="1"/>
  <c r="EE404" i="37" a="1"/>
  <c r="EE404" i="37" s="1"/>
  <c r="EF403" i="37" a="1"/>
  <c r="EF403" i="37" s="1"/>
  <c r="EE403" i="37" a="1"/>
  <c r="EE403" i="37" s="1"/>
  <c r="EF402" i="37" a="1"/>
  <c r="EF402" i="37" s="1"/>
  <c r="EE402" i="37" a="1"/>
  <c r="EE402" i="37" s="1"/>
  <c r="EF401" i="37" a="1"/>
  <c r="EF401" i="37" s="1"/>
  <c r="EE401" i="37" a="1"/>
  <c r="EE401" i="37" s="1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I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K393" i="37" s="1"/>
  <c r="EF392" i="37" a="1"/>
  <c r="EF392" i="37" s="1"/>
  <c r="EE392" i="37" a="1"/>
  <c r="EE392" i="37" s="1"/>
  <c r="EF391" i="37" a="1"/>
  <c r="EF391" i="37" s="1"/>
  <c r="EE391" i="37" a="1"/>
  <c r="EE391" i="37" s="1"/>
  <c r="EI391" i="37" s="1"/>
  <c r="EF390" i="37" a="1"/>
  <c r="EF390" i="37" s="1"/>
  <c r="EE390" i="37" a="1"/>
  <c r="EE390" i="37" s="1"/>
  <c r="EF389" i="37" a="1"/>
  <c r="EF389" i="37" s="1"/>
  <c r="EE389" i="37" a="1"/>
  <c r="EE389" i="37" s="1"/>
  <c r="EF388" i="37" a="1"/>
  <c r="EF388" i="37" s="1"/>
  <c r="EE388" i="37" a="1"/>
  <c r="EE388" i="37" s="1"/>
  <c r="EF387" i="37" a="1"/>
  <c r="EF387" i="37" s="1"/>
  <c r="EE387" i="37" a="1"/>
  <c r="EE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I385" i="37" s="1"/>
  <c r="EF384" i="37" a="1"/>
  <c r="EF384" i="37" s="1"/>
  <c r="EE384" i="37" a="1"/>
  <c r="EE384" i="37" s="1"/>
  <c r="EF383" i="37" a="1"/>
  <c r="EF383" i="37" s="1"/>
  <c r="EE383" i="37" a="1"/>
  <c r="EE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K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I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K369" i="37" s="1"/>
  <c r="EF368" i="37" a="1"/>
  <c r="EF368" i="37" s="1"/>
  <c r="EE368" i="37" a="1"/>
  <c r="EE368" i="37" s="1"/>
  <c r="EF367" i="37" a="1"/>
  <c r="EF367" i="37" s="1"/>
  <c r="EE367" i="37" a="1"/>
  <c r="EE367" i="37" s="1"/>
  <c r="EI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I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K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K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I346" i="37" s="1"/>
  <c r="EF345" i="37" a="1"/>
  <c r="EF345" i="37" s="1"/>
  <c r="EE345" i="37" a="1"/>
  <c r="EE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I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I337" i="37" s="1"/>
  <c r="EF336" i="37" a="1"/>
  <c r="EF336" i="37" s="1"/>
  <c r="EE336" i="37" a="1"/>
  <c r="EE336" i="37" s="1"/>
  <c r="EF335" i="37" a="1"/>
  <c r="EF335" i="37" s="1"/>
  <c r="EE335" i="37" a="1"/>
  <c r="EE335" i="37" s="1"/>
  <c r="EF334" i="37" a="1"/>
  <c r="EF334" i="37" s="1"/>
  <c r="EE334" i="37" a="1"/>
  <c r="EE334" i="37" s="1"/>
  <c r="EF333" i="37" a="1"/>
  <c r="EF333" i="37" s="1"/>
  <c r="EE333" i="37" a="1"/>
  <c r="EE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F330" i="37" a="1"/>
  <c r="EF330" i="37" s="1"/>
  <c r="EE330" i="37" a="1"/>
  <c r="EE330" i="37" s="1"/>
  <c r="EF329" i="37" a="1"/>
  <c r="EF329" i="37" s="1"/>
  <c r="EE329" i="37" a="1"/>
  <c r="EE329" i="37" s="1"/>
  <c r="EF328" i="37" a="1"/>
  <c r="EF328" i="37" s="1"/>
  <c r="EE328" i="37" a="1"/>
  <c r="EE328" i="37" s="1"/>
  <c r="EF327" i="37" a="1"/>
  <c r="EF327" i="37" s="1"/>
  <c r="EE327" i="37" a="1"/>
  <c r="EE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F324" i="37" a="1"/>
  <c r="EF324" i="37" s="1"/>
  <c r="EE324" i="37" a="1"/>
  <c r="EE324" i="37" s="1"/>
  <c r="EI324" i="37" s="1"/>
  <c r="EF323" i="37" a="1"/>
  <c r="EF323" i="37" s="1"/>
  <c r="EE323" i="37" a="1"/>
  <c r="EE323" i="37" s="1"/>
  <c r="EF322" i="37" a="1"/>
  <c r="EF322" i="37" s="1"/>
  <c r="EE322" i="37" a="1"/>
  <c r="EE322" i="37" s="1"/>
  <c r="EF321" i="37" a="1"/>
  <c r="EF321" i="37" s="1"/>
  <c r="EE321" i="37" a="1"/>
  <c r="EE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I316" i="37" s="1"/>
  <c r="EF315" i="37" a="1"/>
  <c r="EF315" i="37" s="1"/>
  <c r="EE315" i="37" a="1"/>
  <c r="EE315" i="37" s="1"/>
  <c r="EI315" i="37" s="1"/>
  <c r="EF314" i="37" a="1"/>
  <c r="EF314" i="37" s="1"/>
  <c r="EE314" i="37" a="1"/>
  <c r="EE314" i="37" s="1"/>
  <c r="EF313" i="37" a="1"/>
  <c r="EF313" i="37" s="1"/>
  <c r="EE313" i="37" a="1"/>
  <c r="EE313" i="37" s="1"/>
  <c r="EF312" i="37" a="1"/>
  <c r="EF312" i="37" s="1"/>
  <c r="EE312" i="37" a="1"/>
  <c r="EE312" i="37" s="1"/>
  <c r="EI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K310" i="37" s="1"/>
  <c r="EF309" i="37" a="1"/>
  <c r="EF309" i="37" s="1"/>
  <c r="EE309" i="37" a="1"/>
  <c r="EE309" i="37" s="1"/>
  <c r="EK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K307" i="37" s="1"/>
  <c r="EF306" i="37" a="1"/>
  <c r="EF306" i="37" s="1"/>
  <c r="EE306" i="37" a="1"/>
  <c r="EE306" i="37" s="1"/>
  <c r="EF305" i="37" a="1"/>
  <c r="EF305" i="37" s="1"/>
  <c r="EE305" i="37" a="1"/>
  <c r="EE305" i="37" s="1"/>
  <c r="EK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F300" i="37" a="1"/>
  <c r="EF300" i="37" s="1"/>
  <c r="EE300" i="37" a="1"/>
  <c r="EE300" i="37" s="1"/>
  <c r="EK300" i="37" s="1"/>
  <c r="EF299" i="37" a="1"/>
  <c r="EF299" i="37" s="1"/>
  <c r="EE299" i="37" a="1"/>
  <c r="EE299" i="37" s="1"/>
  <c r="EK299" i="37" s="1"/>
  <c r="EF298" i="37" a="1"/>
  <c r="EF298" i="37" s="1"/>
  <c r="EE298" i="37" a="1"/>
  <c r="EE298" i="37" s="1"/>
  <c r="EF297" i="37" a="1"/>
  <c r="EF297" i="37" s="1"/>
  <c r="EE297" i="37" a="1"/>
  <c r="EE297" i="37" s="1"/>
  <c r="EF296" i="37" a="1"/>
  <c r="EF296" i="37" s="1"/>
  <c r="EE296" i="37" a="1"/>
  <c r="EE296" i="37" s="1"/>
  <c r="EF295" i="37" a="1"/>
  <c r="EF295" i="37" s="1"/>
  <c r="EE295" i="37" a="1"/>
  <c r="EE295" i="37" s="1"/>
  <c r="EF294" i="37" a="1"/>
  <c r="EF294" i="37" s="1"/>
  <c r="EE294" i="37" a="1"/>
  <c r="EE294" i="37" s="1"/>
  <c r="EF293" i="37" a="1"/>
  <c r="EF293" i="37" s="1"/>
  <c r="EE293" i="37" a="1"/>
  <c r="EE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F290" i="37" a="1"/>
  <c r="EF290" i="37" s="1"/>
  <c r="EE290" i="37" a="1"/>
  <c r="EE290" i="37" s="1"/>
  <c r="EK290" i="37" s="1"/>
  <c r="EF289" i="37" a="1"/>
  <c r="EF289" i="37" s="1"/>
  <c r="EE289" i="37" a="1"/>
  <c r="EE289" i="37" s="1"/>
  <c r="EF288" i="37" a="1"/>
  <c r="EF288" i="37" s="1"/>
  <c r="EE288" i="37" a="1"/>
  <c r="EE288" i="37" s="1"/>
  <c r="EK288" i="37" s="1"/>
  <c r="EF287" i="37" a="1"/>
  <c r="EF287" i="37" s="1"/>
  <c r="EE287" i="37" a="1"/>
  <c r="EE287" i="37" s="1"/>
  <c r="EK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K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K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K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F247" i="37" a="1"/>
  <c r="EF247" i="37" s="1"/>
  <c r="EE247" i="37" a="1"/>
  <c r="EE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F242" i="37" a="1"/>
  <c r="EF242" i="37" s="1"/>
  <c r="EE242" i="37" a="1"/>
  <c r="EE242" i="37" s="1"/>
  <c r="EF241" i="37" a="1"/>
  <c r="EF241" i="37" s="1"/>
  <c r="EE241" i="37" a="1"/>
  <c r="EE241" i="37" s="1"/>
  <c r="EF240" i="37" a="1"/>
  <c r="EF240" i="37" s="1"/>
  <c r="EE240" i="37" a="1"/>
  <c r="EE240" i="37" s="1"/>
  <c r="EF239" i="37" a="1"/>
  <c r="EF239" i="37" s="1"/>
  <c r="EE239" i="37" a="1"/>
  <c r="EE239" i="37" s="1"/>
  <c r="EF238" i="37" a="1"/>
  <c r="EF238" i="37" s="1"/>
  <c r="EE238" i="37" a="1"/>
  <c r="EE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F235" i="37" a="1"/>
  <c r="EF235" i="37" s="1"/>
  <c r="EE235" i="37" a="1"/>
  <c r="EE235" i="37" s="1"/>
  <c r="EF234" i="37" a="1"/>
  <c r="EF234" i="37" s="1"/>
  <c r="EE234" i="37" a="1"/>
  <c r="EE234" i="37" s="1"/>
  <c r="EF233" i="37" a="1"/>
  <c r="EF233" i="37" s="1"/>
  <c r="EE233" i="37" a="1"/>
  <c r="EE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F230" i="37" a="1"/>
  <c r="EF230" i="37" s="1"/>
  <c r="EE230" i="37" a="1"/>
  <c r="EE230" i="37" s="1"/>
  <c r="EF229" i="37" a="1"/>
  <c r="EF229" i="37" s="1"/>
  <c r="EE229" i="37" a="1"/>
  <c r="EE229" i="37" s="1"/>
  <c r="EF228" i="37" a="1"/>
  <c r="EF228" i="37" s="1"/>
  <c r="EE228" i="37" a="1"/>
  <c r="EE228" i="37" s="1"/>
  <c r="EF227" i="37" a="1"/>
  <c r="EF227" i="37" s="1"/>
  <c r="EE227" i="37" a="1"/>
  <c r="EE227" i="37" s="1"/>
  <c r="EF226" i="37" a="1"/>
  <c r="EF226" i="37" s="1"/>
  <c r="EE226" i="37" a="1"/>
  <c r="EE226" i="37" s="1"/>
  <c r="EF225" i="37" a="1"/>
  <c r="EF225" i="37" s="1"/>
  <c r="EE225" i="37" a="1"/>
  <c r="EE225" i="37" s="1"/>
  <c r="EF224" i="37" a="1"/>
  <c r="EF224" i="37" s="1"/>
  <c r="EE224" i="37" a="1"/>
  <c r="EE224" i="37" s="1"/>
  <c r="EF223" i="37" a="1"/>
  <c r="EF223" i="37" s="1"/>
  <c r="EE223" i="37" a="1"/>
  <c r="EE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F218" i="37" a="1"/>
  <c r="EF218" i="37" s="1"/>
  <c r="EE218" i="37" a="1"/>
  <c r="EE218" i="37" s="1"/>
  <c r="EF217" i="37" a="1"/>
  <c r="EF217" i="37" s="1"/>
  <c r="EE217" i="37" a="1"/>
  <c r="EE217" i="37" s="1"/>
  <c r="EF216" i="37" a="1"/>
  <c r="EF216" i="37" s="1"/>
  <c r="EE216" i="37" a="1"/>
  <c r="EE216" i="37" s="1"/>
  <c r="EF215" i="37" a="1"/>
  <c r="EF215" i="37" s="1"/>
  <c r="EE215" i="37" a="1"/>
  <c r="EE215" i="37" s="1"/>
  <c r="EF214" i="37" a="1"/>
  <c r="EF214" i="37" s="1"/>
  <c r="EE214" i="37" a="1"/>
  <c r="EE214" i="37" s="1"/>
  <c r="EF213" i="37" a="1"/>
  <c r="EF213" i="37" s="1"/>
  <c r="EE213" i="37" a="1"/>
  <c r="EE213" i="37" s="1"/>
  <c r="EF212" i="37" a="1"/>
  <c r="EF212" i="37" s="1"/>
  <c r="EE212" i="37" a="1"/>
  <c r="EE212" i="37" s="1"/>
  <c r="EF211" i="37" a="1"/>
  <c r="EF211" i="37" s="1"/>
  <c r="EE211" i="37" a="1"/>
  <c r="EE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F206" i="37" a="1"/>
  <c r="EF206" i="37" s="1"/>
  <c r="EE206" i="37" a="1"/>
  <c r="EE206" i="37" s="1"/>
  <c r="EF205" i="37" a="1"/>
  <c r="EF205" i="37" s="1"/>
  <c r="EE205" i="37" a="1"/>
  <c r="EE205" i="37" s="1"/>
  <c r="EF204" i="37" a="1"/>
  <c r="EF204" i="37" s="1"/>
  <c r="EE204" i="37" a="1"/>
  <c r="EE204" i="37" s="1"/>
  <c r="EF203" i="37" a="1"/>
  <c r="EF203" i="37" s="1"/>
  <c r="EE203" i="37" a="1"/>
  <c r="EE203" i="37" s="1"/>
  <c r="EF202" i="37" a="1"/>
  <c r="EF202" i="37" s="1"/>
  <c r="EE202" i="37" a="1"/>
  <c r="EE202" i="37" s="1"/>
  <c r="EF201" i="37" a="1"/>
  <c r="EF201" i="37" s="1"/>
  <c r="EE201" i="37" a="1"/>
  <c r="EE201" i="37" s="1"/>
  <c r="EF200" i="37" a="1"/>
  <c r="EF200" i="37" s="1"/>
  <c r="EE200" i="37" a="1"/>
  <c r="EE200" i="37" s="1"/>
  <c r="EF199" i="37" a="1"/>
  <c r="EF199" i="37" s="1"/>
  <c r="EE199" i="37" a="1"/>
  <c r="EE199" i="37" s="1"/>
  <c r="EF198" i="37" a="1"/>
  <c r="EF198" i="37" s="1"/>
  <c r="EE198" i="37" a="1"/>
  <c r="EE198" i="37" s="1"/>
  <c r="EF197" i="37" a="1"/>
  <c r="EF197" i="37" s="1"/>
  <c r="EE197" i="37" a="1"/>
  <c r="EE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F194" i="37" a="1"/>
  <c r="EF194" i="37" s="1"/>
  <c r="EE194" i="37" a="1"/>
  <c r="EE194" i="37" s="1"/>
  <c r="EF193" i="37" a="1"/>
  <c r="EF193" i="37" s="1"/>
  <c r="EE193" i="37" a="1"/>
  <c r="EE193" i="37" s="1"/>
  <c r="EF192" i="37" a="1"/>
  <c r="EF192" i="37" s="1"/>
  <c r="EE192" i="37" a="1"/>
  <c r="EE192" i="37" s="1"/>
  <c r="EF191" i="37" a="1"/>
  <c r="EF191" i="37" s="1"/>
  <c r="EE191" i="37" a="1"/>
  <c r="EE191" i="37" s="1"/>
  <c r="EF190" i="37" a="1"/>
  <c r="EF190" i="37" s="1"/>
  <c r="EE190" i="37" a="1"/>
  <c r="EE190" i="37" s="1"/>
  <c r="EF189" i="37" a="1"/>
  <c r="EF189" i="37" s="1"/>
  <c r="EE189" i="37" a="1"/>
  <c r="EE189" i="37" s="1"/>
  <c r="EF188" i="37" a="1"/>
  <c r="EF188" i="37" s="1"/>
  <c r="EE188" i="37" a="1"/>
  <c r="EE188" i="37" s="1"/>
  <c r="EF187" i="37" a="1"/>
  <c r="EF187" i="37" s="1"/>
  <c r="EE187" i="37" a="1"/>
  <c r="EE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F184" i="37" a="1"/>
  <c r="EF184" i="37" s="1"/>
  <c r="EE184" i="37" a="1"/>
  <c r="EE184" i="37" s="1"/>
  <c r="EF183" i="37" a="1"/>
  <c r="EF183" i="37" s="1"/>
  <c r="EE183" i="37" a="1"/>
  <c r="EE183" i="37" s="1"/>
  <c r="EF182" i="37" a="1"/>
  <c r="EF182" i="37" s="1"/>
  <c r="EE182" i="37" a="1"/>
  <c r="EE182" i="37" s="1"/>
  <c r="EF181" i="37" a="1"/>
  <c r="EF181" i="37" s="1"/>
  <c r="EE181" i="37" a="1"/>
  <c r="EE181" i="37" s="1"/>
  <c r="EF180" i="37" a="1"/>
  <c r="EF180" i="37" s="1"/>
  <c r="EE180" i="37" a="1"/>
  <c r="EE180" i="37" s="1"/>
  <c r="EF179" i="37" a="1"/>
  <c r="EF179" i="37" s="1"/>
  <c r="EE179" i="37" a="1"/>
  <c r="EE179" i="37" s="1"/>
  <c r="EF178" i="37" a="1"/>
  <c r="EF178" i="37" s="1"/>
  <c r="EE178" i="37" a="1"/>
  <c r="EE178" i="37" s="1"/>
  <c r="EF177" i="37" a="1"/>
  <c r="EF177" i="37" s="1"/>
  <c r="EE177" i="37" a="1"/>
  <c r="EE177" i="37" s="1"/>
  <c r="EF176" i="37" a="1"/>
  <c r="EF176" i="37" s="1"/>
  <c r="EE176" i="37" a="1"/>
  <c r="EE176" i="37" s="1"/>
  <c r="EF175" i="37" a="1"/>
  <c r="EF175" i="37" s="1"/>
  <c r="EE175" i="37" a="1"/>
  <c r="EE175" i="37" s="1"/>
  <c r="EF174" i="37" a="1"/>
  <c r="EF174" i="37" s="1"/>
  <c r="EE174" i="37" a="1"/>
  <c r="EE174" i="37" s="1"/>
  <c r="EF173" i="37" a="1"/>
  <c r="EF173" i="37" s="1"/>
  <c r="EE173" i="37" a="1"/>
  <c r="EE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F168" i="37" a="1"/>
  <c r="EF168" i="37" s="1"/>
  <c r="EE168" i="37" a="1"/>
  <c r="EE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F163" i="37" a="1"/>
  <c r="EF163" i="37" s="1"/>
  <c r="EE163" i="37" a="1"/>
  <c r="EE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F158" i="37" a="1"/>
  <c r="EF158" i="37" s="1"/>
  <c r="EE158" i="37" a="1"/>
  <c r="EE158" i="37" s="1"/>
  <c r="EF157" i="37" a="1"/>
  <c r="EF157" i="37" s="1"/>
  <c r="EE157" i="37" a="1"/>
  <c r="EE157" i="37" s="1"/>
  <c r="EF156" i="37" a="1"/>
  <c r="EF156" i="37" s="1"/>
  <c r="EE156" i="37" a="1"/>
  <c r="EE156" i="37" s="1"/>
  <c r="EF155" i="37" a="1"/>
  <c r="EF155" i="37" s="1"/>
  <c r="EE155" i="37" a="1"/>
  <c r="EE155" i="37" s="1"/>
  <c r="EF154" i="37" a="1"/>
  <c r="EF154" i="37" s="1"/>
  <c r="EE154" i="37" a="1"/>
  <c r="EE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F147" i="37" a="1"/>
  <c r="EF147" i="37" s="1"/>
  <c r="EE147" i="37" a="1"/>
  <c r="EE147" i="37" s="1"/>
  <c r="EF146" i="37" a="1"/>
  <c r="EF146" i="37" s="1"/>
  <c r="EE146" i="37" a="1"/>
  <c r="EE146" i="37" s="1"/>
  <c r="EF145" i="37" a="1"/>
  <c r="EF145" i="37" s="1"/>
  <c r="EE145" i="37" a="1"/>
  <c r="EE145" i="37" s="1"/>
  <c r="EF144" i="37" a="1"/>
  <c r="EF144" i="37" s="1"/>
  <c r="EE144" i="37" a="1"/>
  <c r="EE144" i="37" s="1"/>
  <c r="EF143" i="37" a="1"/>
  <c r="EF143" i="37" s="1"/>
  <c r="EE143" i="37" a="1"/>
  <c r="EE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F139" i="37" a="1"/>
  <c r="EF139" i="37" s="1"/>
  <c r="EE139" i="37" a="1"/>
  <c r="EE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F134" i="37" a="1"/>
  <c r="EF134" i="37" s="1"/>
  <c r="EE134" i="37" a="1"/>
  <c r="EE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F128" i="37" a="1"/>
  <c r="EF128" i="37" s="1"/>
  <c r="EE128" i="37" a="1"/>
  <c r="EE128" i="37" s="1"/>
  <c r="EF127" i="37" a="1"/>
  <c r="EF127" i="37" s="1"/>
  <c r="EE127" i="37" a="1"/>
  <c r="EE127" i="37" s="1"/>
  <c r="EF126" i="37" a="1"/>
  <c r="EF126" i="37" s="1"/>
  <c r="EE126" i="37" a="1"/>
  <c r="EE126" i="37" s="1"/>
  <c r="EF125" i="37" a="1"/>
  <c r="EF125" i="37" s="1"/>
  <c r="EE125" i="37" a="1"/>
  <c r="EE125" i="37" s="1"/>
  <c r="EF124" i="37" a="1"/>
  <c r="EF124" i="37" s="1"/>
  <c r="EE124" i="37" a="1"/>
  <c r="EE124" i="37" s="1"/>
  <c r="EF123" i="37" a="1"/>
  <c r="EF123" i="37" s="1"/>
  <c r="EE123" i="37" a="1"/>
  <c r="EE123" i="37" s="1"/>
  <c r="EF122" i="37" a="1"/>
  <c r="EF122" i="37" s="1"/>
  <c r="EE122" i="37" a="1"/>
  <c r="EE122" i="37" s="1"/>
  <c r="EF121" i="37" a="1"/>
  <c r="EF121" i="37" s="1"/>
  <c r="EE121" i="37" a="1"/>
  <c r="EE121" i="37" s="1"/>
  <c r="EF120" i="37" a="1"/>
  <c r="EF120" i="37" s="1"/>
  <c r="EE120" i="37" a="1"/>
  <c r="EE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F115" i="37" a="1"/>
  <c r="EF115" i="37" s="1"/>
  <c r="EE115" i="37" a="1"/>
  <c r="EE115" i="37" s="1"/>
  <c r="EF114" i="37" a="1"/>
  <c r="EF114" i="37" s="1"/>
  <c r="EE114" i="37" a="1"/>
  <c r="EE114" i="37" s="1"/>
  <c r="EF113" i="37" a="1"/>
  <c r="EF113" i="37" s="1"/>
  <c r="EE113" i="37" a="1"/>
  <c r="EE113" i="37" s="1"/>
  <c r="EF112" i="37" a="1"/>
  <c r="EF112" i="37" s="1"/>
  <c r="EE112" i="37" a="1"/>
  <c r="EE112" i="37" s="1"/>
  <c r="EF111" i="37" a="1"/>
  <c r="EF111" i="37" s="1"/>
  <c r="EE111" i="37" a="1"/>
  <c r="EE111" i="37" s="1"/>
  <c r="EF110" i="37" a="1"/>
  <c r="EF110" i="37" s="1"/>
  <c r="EE110" i="37" a="1"/>
  <c r="EE110" i="37" s="1"/>
  <c r="EF109" i="37" a="1"/>
  <c r="EF109" i="37" s="1"/>
  <c r="EE109" i="37" a="1"/>
  <c r="EE109" i="37" s="1"/>
  <c r="EF108" i="37" a="1"/>
  <c r="EF108" i="37" s="1"/>
  <c r="EE108" i="37" a="1"/>
  <c r="EE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F104" i="37" a="1"/>
  <c r="EF104" i="37" s="1"/>
  <c r="EE104" i="37" a="1"/>
  <c r="EE104" i="37" s="1"/>
  <c r="EF103" i="37" a="1"/>
  <c r="EF103" i="37" s="1"/>
  <c r="EE103" i="37" a="1"/>
  <c r="EE103" i="37" s="1"/>
  <c r="EF102" i="37" a="1"/>
  <c r="EF102" i="37" s="1"/>
  <c r="EE102" i="37" a="1"/>
  <c r="EE102" i="37" s="1"/>
  <c r="EF101" i="37" a="1"/>
  <c r="EF101" i="37" s="1"/>
  <c r="EE101" i="37" a="1"/>
  <c r="EE101" i="37" s="1"/>
  <c r="EF100" i="37" a="1"/>
  <c r="EF100" i="37" s="1"/>
  <c r="EE100" i="37" a="1"/>
  <c r="EE100" i="37" s="1"/>
  <c r="EF99" i="37" a="1"/>
  <c r="EF99" i="37" s="1"/>
  <c r="EE99" i="37" a="1"/>
  <c r="EE99" i="37" s="1"/>
  <c r="EF98" i="37" a="1"/>
  <c r="EF98" i="37" s="1"/>
  <c r="EE98" i="37" a="1"/>
  <c r="EE98" i="37" s="1"/>
  <c r="EF97" i="37" a="1"/>
  <c r="EF97" i="37" s="1"/>
  <c r="EE97" i="37" a="1"/>
  <c r="EE97" i="37" s="1"/>
  <c r="EF96" i="37" a="1"/>
  <c r="EF96" i="37" s="1"/>
  <c r="EE96" i="37" a="1"/>
  <c r="EE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F93" i="37" a="1"/>
  <c r="EF93" i="37" s="1"/>
  <c r="EE93" i="37" a="1"/>
  <c r="EE93" i="37" s="1"/>
  <c r="EF92" i="37" a="1"/>
  <c r="EF92" i="37" s="1"/>
  <c r="EE92" i="37" a="1"/>
  <c r="EE92" i="37" s="1"/>
  <c r="EF91" i="37" a="1"/>
  <c r="EF91" i="37" s="1"/>
  <c r="EE91" i="37" a="1"/>
  <c r="EE91" i="37" s="1"/>
  <c r="EF90" i="37" a="1"/>
  <c r="EF90" i="37" s="1"/>
  <c r="EE90" i="37" a="1"/>
  <c r="EE90" i="37" s="1"/>
  <c r="EF89" i="37" a="1"/>
  <c r="EF89" i="37" s="1"/>
  <c r="EE89" i="37" a="1"/>
  <c r="EE89" i="37" s="1"/>
  <c r="EF88" i="37" a="1"/>
  <c r="EF88" i="37" s="1"/>
  <c r="EE88" i="37" a="1"/>
  <c r="EE88" i="37" s="1"/>
  <c r="EF87" i="37" a="1"/>
  <c r="EF87" i="37" s="1"/>
  <c r="EE87" i="37" a="1"/>
  <c r="EE87" i="37" s="1"/>
  <c r="EF86" i="37" a="1"/>
  <c r="EF86" i="37" s="1"/>
  <c r="EE86" i="37" a="1"/>
  <c r="EE86" i="37" s="1"/>
  <c r="EF85" i="37" a="1"/>
  <c r="EF85" i="37" s="1"/>
  <c r="EE85" i="37" a="1"/>
  <c r="EE85" i="37" s="1"/>
  <c r="EF84" i="37" a="1"/>
  <c r="EF84" i="37" s="1"/>
  <c r="EE84" i="37" a="1"/>
  <c r="EE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F80" i="37" a="1"/>
  <c r="EF80" i="37" s="1"/>
  <c r="EE80" i="37" a="1"/>
  <c r="EE80" i="37" s="1"/>
  <c r="EF79" i="37" a="1"/>
  <c r="EF79" i="37" s="1"/>
  <c r="EE79" i="37" a="1"/>
  <c r="EE79" i="37" s="1"/>
  <c r="EF78" i="37" a="1"/>
  <c r="EF78" i="37" s="1"/>
  <c r="EE78" i="37" a="1"/>
  <c r="EE78" i="37" s="1"/>
  <c r="EF77" i="37" a="1"/>
  <c r="EF77" i="37" s="1"/>
  <c r="EE77" i="37" a="1"/>
  <c r="EE77" i="37" s="1"/>
  <c r="EF76" i="37" a="1"/>
  <c r="EF76" i="37" s="1"/>
  <c r="EE76" i="37" a="1"/>
  <c r="EE76" i="37" s="1"/>
  <c r="EF75" i="37" a="1"/>
  <c r="EF75" i="37" s="1"/>
  <c r="EE75" i="37" a="1"/>
  <c r="EE75" i="37" s="1"/>
  <c r="EF74" i="37" a="1"/>
  <c r="EF74" i="37" s="1"/>
  <c r="EE74" i="37" a="1"/>
  <c r="EE74" i="37" s="1"/>
  <c r="EF73" i="37" a="1"/>
  <c r="EF73" i="37" s="1"/>
  <c r="EE73" i="37" a="1"/>
  <c r="EE73" i="37" s="1"/>
  <c r="EF72" i="37" a="1"/>
  <c r="EF72" i="37" s="1"/>
  <c r="EE72" i="37" a="1"/>
  <c r="EE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F68" i="37" a="1"/>
  <c r="EF68" i="37" s="1"/>
  <c r="EE68" i="37" a="1"/>
  <c r="EE68" i="37" s="1"/>
  <c r="EF67" i="37" a="1"/>
  <c r="EF67" i="37" s="1"/>
  <c r="EE67" i="37" a="1"/>
  <c r="EE67" i="37" s="1"/>
  <c r="EF66" i="37" a="1"/>
  <c r="EF66" i="37" s="1"/>
  <c r="EE66" i="37" a="1"/>
  <c r="EE66" i="37" s="1"/>
  <c r="EF65" i="37" a="1"/>
  <c r="EF65" i="37" s="1"/>
  <c r="EE65" i="37" a="1"/>
  <c r="EE65" i="37" s="1"/>
  <c r="EF64" i="37" a="1"/>
  <c r="EF64" i="37" s="1"/>
  <c r="EE64" i="37" a="1"/>
  <c r="EE64" i="37" s="1"/>
  <c r="EF63" i="37" a="1"/>
  <c r="EF63" i="37" s="1"/>
  <c r="EE63" i="37" a="1"/>
  <c r="EE63" i="37" s="1"/>
  <c r="EF62" i="37" a="1"/>
  <c r="EF62" i="37" s="1"/>
  <c r="EE62" i="37" a="1"/>
  <c r="EE62" i="37" s="1"/>
  <c r="EF61" i="37" a="1"/>
  <c r="EF61" i="37" s="1"/>
  <c r="EE61" i="37" a="1"/>
  <c r="EE61" i="37" s="1"/>
  <c r="EF60" i="37" a="1"/>
  <c r="EF60" i="37" s="1"/>
  <c r="EE60" i="37" a="1"/>
  <c r="EE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F57" i="37" a="1"/>
  <c r="EF57" i="37" s="1"/>
  <c r="EE57" i="37" a="1"/>
  <c r="EE57" i="37" s="1"/>
  <c r="EF56" i="37" a="1"/>
  <c r="EF56" i="37" s="1"/>
  <c r="EE56" i="37" a="1"/>
  <c r="EE56" i="37" s="1"/>
  <c r="EF55" i="37" a="1"/>
  <c r="EF55" i="37" s="1"/>
  <c r="EE55" i="37" a="1"/>
  <c r="EE55" i="37" s="1"/>
  <c r="EF54" i="37" a="1"/>
  <c r="EF54" i="37" s="1"/>
  <c r="EE54" i="37" a="1"/>
  <c r="EE54" i="37" s="1"/>
  <c r="EF53" i="37" a="1"/>
  <c r="EF53" i="37" s="1"/>
  <c r="EE53" i="37" a="1"/>
  <c r="EE53" i="37" s="1"/>
  <c r="EF52" i="37" a="1"/>
  <c r="EF52" i="37" s="1"/>
  <c r="EE52" i="37" a="1"/>
  <c r="EE52" i="37" s="1"/>
  <c r="EF51" i="37" a="1"/>
  <c r="EF51" i="37" s="1"/>
  <c r="EE51" i="37" a="1"/>
  <c r="EE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F48" i="37" a="1"/>
  <c r="EF48" i="37" s="1"/>
  <c r="EE48" i="37" a="1"/>
  <c r="EE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F44" i="37" a="1"/>
  <c r="EF44" i="37" s="1"/>
  <c r="EE44" i="37" a="1"/>
  <c r="EE44" i="37" s="1"/>
  <c r="EF43" i="37" a="1"/>
  <c r="EF43" i="37" s="1"/>
  <c r="EE43" i="37" a="1"/>
  <c r="EE43" i="37" s="1"/>
  <c r="EF42" i="37" a="1"/>
  <c r="EF42" i="37" s="1"/>
  <c r="EE42" i="37" a="1"/>
  <c r="EE42" i="37" s="1"/>
  <c r="EF41" i="37" a="1"/>
  <c r="EF41" i="37" s="1"/>
  <c r="EE41" i="37" a="1"/>
  <c r="EE41" i="37" s="1"/>
  <c r="EF40" i="37" a="1"/>
  <c r="EF40" i="37" s="1"/>
  <c r="EE40" i="37" a="1"/>
  <c r="EE40" i="37" s="1"/>
  <c r="EF39" i="37" a="1"/>
  <c r="EF39" i="37" s="1"/>
  <c r="EE39" i="37" a="1"/>
  <c r="EE39" i="37" s="1"/>
  <c r="EF38" i="37" a="1"/>
  <c r="EF38" i="37" s="1"/>
  <c r="EE38" i="37" a="1"/>
  <c r="EE38" i="37" s="1"/>
  <c r="EF37" i="37" a="1"/>
  <c r="EF37" i="37" s="1"/>
  <c r="EE37" i="37" a="1"/>
  <c r="EE37" i="37" s="1"/>
  <c r="EF36" i="37" a="1"/>
  <c r="EF36" i="37" s="1"/>
  <c r="EE36" i="37" a="1"/>
  <c r="EE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F33" i="37" a="1"/>
  <c r="EF33" i="37" s="1"/>
  <c r="EE33" i="37" a="1"/>
  <c r="EE33" i="37" s="1"/>
  <c r="EF32" i="37" a="1"/>
  <c r="EF32" i="37" s="1"/>
  <c r="EE32" i="37" a="1"/>
  <c r="EE32" i="37" s="1"/>
  <c r="EF31" i="37" a="1"/>
  <c r="EF31" i="37" s="1"/>
  <c r="EE31" i="37" a="1"/>
  <c r="EE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F26" i="37" a="1"/>
  <c r="EF26" i="37" s="1"/>
  <c r="EE26" i="37" a="1"/>
  <c r="EE26" i="37" s="1"/>
  <c r="EF25" i="37" a="1"/>
  <c r="EF25" i="37" s="1"/>
  <c r="EE25" i="37" a="1"/>
  <c r="EE25" i="37" s="1"/>
  <c r="EF24" i="37" a="1"/>
  <c r="EF24" i="37" s="1"/>
  <c r="EE24" i="37" a="1"/>
  <c r="EE24" i="37" s="1"/>
  <c r="EF23" i="37" a="1"/>
  <c r="EF23" i="37" s="1"/>
  <c r="EE23" i="37" a="1"/>
  <c r="EE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F20" i="37" a="1"/>
  <c r="EF20" i="37" s="1"/>
  <c r="EE20" i="37" a="1"/>
  <c r="EE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F17" i="37" a="1"/>
  <c r="EF17" i="37" s="1"/>
  <c r="EE17" i="37" a="1"/>
  <c r="EE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F11" i="37" a="1"/>
  <c r="EF11" i="37" s="1"/>
  <c r="EE11" i="37" a="1"/>
  <c r="EE11" i="37" s="1"/>
  <c r="EF10" i="37" a="1"/>
  <c r="EF10" i="37" s="1"/>
  <c r="EE10" i="37" a="1"/>
  <c r="EE10" i="37" s="1"/>
  <c r="EF9" i="37" a="1"/>
  <c r="EF9" i="37" s="1"/>
  <c r="EE9" i="37" a="1"/>
  <c r="EE9" i="37" s="1"/>
  <c r="EF8" i="37" a="1"/>
  <c r="EF8" i="37" s="1"/>
  <c r="EE8" i="37" a="1"/>
  <c r="EE8" i="37" s="1"/>
  <c r="CY16" i="37"/>
  <c r="CY15" i="37"/>
  <c r="CY14" i="37"/>
  <c r="CY13" i="37"/>
  <c r="CY12" i="37"/>
  <c r="CY11" i="37"/>
  <c r="CY10" i="37"/>
  <c r="CT15" i="37"/>
  <c r="CP15" i="37"/>
  <c r="CO15" i="37"/>
  <c r="CN15" i="37"/>
  <c r="CM15" i="37"/>
  <c r="CL15" i="37"/>
  <c r="CK15" i="37"/>
  <c r="CJ15" i="37"/>
  <c r="CI15" i="37"/>
  <c r="CH15" i="37"/>
  <c r="CG15" i="37"/>
  <c r="CA15" i="37"/>
  <c r="EI435" i="37" l="1"/>
  <c r="EK435" i="37"/>
  <c r="EI310" i="37"/>
  <c r="EK482" i="37"/>
  <c r="EK273" i="37"/>
  <c r="EG263" i="37"/>
  <c r="EK316" i="37"/>
  <c r="EG309" i="37"/>
  <c r="EG317" i="37"/>
  <c r="EK375" i="37"/>
  <c r="EI309" i="37"/>
  <c r="EI256" i="37"/>
  <c r="EK256" i="37" s="1"/>
  <c r="EI251" i="37"/>
  <c r="EI136" i="37"/>
  <c r="EK136" i="37" s="1"/>
  <c r="EI162" i="37"/>
  <c r="EK162" i="37" s="1"/>
  <c r="EI165" i="37"/>
  <c r="EK165" i="37" s="1"/>
  <c r="EI19" i="37"/>
  <c r="EK19" i="37" s="1"/>
  <c r="EI160" i="37"/>
  <c r="EK160" i="37" s="1"/>
  <c r="EI220" i="37"/>
  <c r="EK220" i="37" s="1"/>
  <c r="EI138" i="37"/>
  <c r="EK138" i="37" s="1"/>
  <c r="EI244" i="37"/>
  <c r="EK244" i="37" s="1"/>
  <c r="EI232" i="37"/>
  <c r="EK232" i="37" s="1"/>
  <c r="EK264" i="37"/>
  <c r="EI264" i="37"/>
  <c r="EK327" i="37"/>
  <c r="EI327" i="37"/>
  <c r="EG327" i="37"/>
  <c r="EI349" i="37"/>
  <c r="EK349" i="37"/>
  <c r="EI454" i="37"/>
  <c r="EK454" i="37"/>
  <c r="EG454" i="37"/>
  <c r="EG280" i="37"/>
  <c r="EK280" i="37"/>
  <c r="EI280" i="37"/>
  <c r="EI295" i="37"/>
  <c r="EK295" i="37"/>
  <c r="EG295" i="37"/>
  <c r="EI481" i="37"/>
  <c r="EK481" i="37"/>
  <c r="EI360" i="37"/>
  <c r="EK360" i="37"/>
  <c r="EI396" i="37"/>
  <c r="EG396" i="37"/>
  <c r="EK396" i="37"/>
  <c r="EI420" i="37"/>
  <c r="EK420" i="37"/>
  <c r="EI444" i="37"/>
  <c r="EK444" i="37"/>
  <c r="EG466" i="37"/>
  <c r="EK466" i="37"/>
  <c r="EK339" i="37"/>
  <c r="EI339" i="37"/>
  <c r="EG339" i="37"/>
  <c r="EK276" i="37"/>
  <c r="EI276" i="37"/>
  <c r="EI372" i="37"/>
  <c r="EK372" i="37"/>
  <c r="EK411" i="37"/>
  <c r="EI411" i="37"/>
  <c r="EG411" i="37"/>
  <c r="EI471" i="37"/>
  <c r="EK471" i="37"/>
  <c r="EG471" i="37"/>
  <c r="EI493" i="37"/>
  <c r="EK493" i="37"/>
  <c r="EK266" i="37"/>
  <c r="EI266" i="37"/>
  <c r="EI456" i="37"/>
  <c r="EK456" i="37"/>
  <c r="EI373" i="37"/>
  <c r="EK373" i="37"/>
  <c r="EK387" i="37"/>
  <c r="EI387" i="37"/>
  <c r="EG387" i="37"/>
  <c r="EI494" i="37"/>
  <c r="EK494" i="37"/>
  <c r="EG494" i="37"/>
  <c r="EI336" i="37"/>
  <c r="EK336" i="37"/>
  <c r="EG336" i="37"/>
  <c r="EI457" i="37"/>
  <c r="EK457" i="37"/>
  <c r="EI483" i="37"/>
  <c r="EK483" i="37"/>
  <c r="EG483" i="37"/>
  <c r="EI325" i="37"/>
  <c r="EK325" i="37"/>
  <c r="EI432" i="37"/>
  <c r="EK432" i="37"/>
  <c r="EI495" i="37"/>
  <c r="EK495" i="37"/>
  <c r="EG495" i="37"/>
  <c r="EG268" i="37"/>
  <c r="EK268" i="37"/>
  <c r="EI268" i="37"/>
  <c r="EK363" i="37"/>
  <c r="EI363" i="37"/>
  <c r="EG363" i="37"/>
  <c r="EI408" i="37"/>
  <c r="EK408" i="37"/>
  <c r="EI458" i="37"/>
  <c r="EK458" i="37"/>
  <c r="EG458" i="37"/>
  <c r="EI468" i="37"/>
  <c r="EK468" i="37"/>
  <c r="EG399" i="37"/>
  <c r="EK399" i="37"/>
  <c r="EI399" i="37"/>
  <c r="EK423" i="37"/>
  <c r="EI423" i="37"/>
  <c r="EG423" i="37"/>
  <c r="EI433" i="37"/>
  <c r="EK433" i="37"/>
  <c r="EI384" i="37"/>
  <c r="EK384" i="37"/>
  <c r="EI409" i="37"/>
  <c r="EK409" i="37"/>
  <c r="EI469" i="37"/>
  <c r="EK469" i="37"/>
  <c r="EI480" i="37"/>
  <c r="EK480" i="37"/>
  <c r="EG129" i="37"/>
  <c r="EI129" i="37" s="1"/>
  <c r="EK129" i="37" s="1"/>
  <c r="EI151" i="37"/>
  <c r="EK151" i="37" s="1"/>
  <c r="EG275" i="37"/>
  <c r="EI299" i="37"/>
  <c r="EG302" i="37"/>
  <c r="EI308" i="37"/>
  <c r="EG324" i="37"/>
  <c r="EG351" i="37"/>
  <c r="EK492" i="37"/>
  <c r="EI275" i="37"/>
  <c r="EI278" i="37"/>
  <c r="EI292" i="37"/>
  <c r="EK302" i="37"/>
  <c r="EG305" i="37"/>
  <c r="EK324" i="37"/>
  <c r="EK337" i="37"/>
  <c r="EI351" i="37"/>
  <c r="EK292" i="37"/>
  <c r="EK315" i="37"/>
  <c r="EG435" i="37"/>
  <c r="EK445" i="37"/>
  <c r="EG459" i="37"/>
  <c r="EG470" i="37"/>
  <c r="EK421" i="37"/>
  <c r="EK459" i="37"/>
  <c r="EK470" i="37"/>
  <c r="EG177" i="37"/>
  <c r="EI177" i="37" s="1"/>
  <c r="EK177" i="37" s="1"/>
  <c r="EI287" i="37"/>
  <c r="EK312" i="37"/>
  <c r="EK332" i="37"/>
  <c r="EI208" i="37"/>
  <c r="EK208" i="37" s="1"/>
  <c r="EG273" i="37"/>
  <c r="EI290" i="37"/>
  <c r="EI300" i="37"/>
  <c r="EG316" i="37"/>
  <c r="EK346" i="37"/>
  <c r="EK397" i="37"/>
  <c r="EG482" i="37"/>
  <c r="EI117" i="37"/>
  <c r="EK117" i="37" s="1"/>
  <c r="EI320" i="37"/>
  <c r="EG375" i="37"/>
  <c r="EG447" i="37"/>
  <c r="EI13" i="37"/>
  <c r="EK13" i="37" s="1"/>
  <c r="EG105" i="37"/>
  <c r="EI105" i="37" s="1"/>
  <c r="EK105" i="37" s="1"/>
  <c r="EI288" i="37"/>
  <c r="EK304" i="37"/>
  <c r="EG307" i="37"/>
  <c r="EK320" i="37"/>
  <c r="EK361" i="37"/>
  <c r="EK385" i="37"/>
  <c r="EK447" i="37"/>
  <c r="EG11" i="37"/>
  <c r="EI11" i="37" s="1"/>
  <c r="EK11" i="37" s="1"/>
  <c r="EG10" i="37"/>
  <c r="EI10" i="37" s="1"/>
  <c r="EK10" i="37" s="1"/>
  <c r="EG12" i="37"/>
  <c r="EI12" i="37" s="1"/>
  <c r="EK12" i="37" s="1"/>
  <c r="EG15" i="37"/>
  <c r="EI15" i="37" s="1"/>
  <c r="EK15" i="37" s="1"/>
  <c r="EG27" i="37"/>
  <c r="EI27" i="37" s="1"/>
  <c r="EK27" i="37" s="1"/>
  <c r="EG121" i="37"/>
  <c r="EI121" i="37" s="1"/>
  <c r="EK121" i="37" s="1"/>
  <c r="EG104" i="37"/>
  <c r="EI104" i="37" s="1"/>
  <c r="EK104" i="37" s="1"/>
  <c r="EK279" i="37"/>
  <c r="EI279" i="37"/>
  <c r="EG279" i="37"/>
  <c r="EG51" i="37"/>
  <c r="EI51" i="37" s="1"/>
  <c r="EK51" i="37" s="1"/>
  <c r="EG61" i="37"/>
  <c r="EI61" i="37" s="1"/>
  <c r="EK61" i="37" s="1"/>
  <c r="EG76" i="37"/>
  <c r="EI76" i="37" s="1"/>
  <c r="EK76" i="37" s="1"/>
  <c r="EG87" i="37"/>
  <c r="EI87" i="37" s="1"/>
  <c r="EK87" i="37" s="1"/>
  <c r="EG97" i="37"/>
  <c r="EI97" i="37" s="1"/>
  <c r="EK97" i="37" s="1"/>
  <c r="EG115" i="37"/>
  <c r="EI115" i="37" s="1"/>
  <c r="EK115" i="37" s="1"/>
  <c r="EG122" i="37"/>
  <c r="EI122" i="37" s="1"/>
  <c r="EK122" i="37" s="1"/>
  <c r="EG197" i="37"/>
  <c r="EI197" i="37" s="1"/>
  <c r="EK197" i="37" s="1"/>
  <c r="EG255" i="37"/>
  <c r="EI255" i="37" s="1"/>
  <c r="EK255" i="37" s="1"/>
  <c r="EK303" i="37"/>
  <c r="EI303" i="37"/>
  <c r="EG303" i="37"/>
  <c r="EG190" i="37"/>
  <c r="EI190" i="37" s="1"/>
  <c r="EK190" i="37" s="1"/>
  <c r="EK272" i="37"/>
  <c r="EI272" i="37"/>
  <c r="EG272" i="37"/>
  <c r="EG135" i="37"/>
  <c r="EI135" i="37" s="1"/>
  <c r="EK135" i="37" s="1"/>
  <c r="EG145" i="37"/>
  <c r="EI145" i="37" s="1"/>
  <c r="EK145" i="37" s="1"/>
  <c r="EI322" i="37"/>
  <c r="EK322" i="37"/>
  <c r="EG322" i="37"/>
  <c r="EI28" i="37"/>
  <c r="EK28" i="37" s="1"/>
  <c r="EG31" i="37"/>
  <c r="EI31" i="37" s="1"/>
  <c r="EK31" i="37" s="1"/>
  <c r="EG37" i="37"/>
  <c r="EI37" i="37" s="1"/>
  <c r="EK37" i="37" s="1"/>
  <c r="EG44" i="37"/>
  <c r="EI44" i="37" s="1"/>
  <c r="EK44" i="37" s="1"/>
  <c r="EI47" i="37"/>
  <c r="EK47" i="37" s="1"/>
  <c r="EG112" i="37"/>
  <c r="EI112" i="37" s="1"/>
  <c r="EK112" i="37" s="1"/>
  <c r="EI118" i="37"/>
  <c r="EK118" i="37" s="1"/>
  <c r="EG126" i="37"/>
  <c r="EI126" i="37" s="1"/>
  <c r="EK126" i="37" s="1"/>
  <c r="EI142" i="37"/>
  <c r="EK142" i="37" s="1"/>
  <c r="EG146" i="37"/>
  <c r="EI146" i="37" s="1"/>
  <c r="EK146" i="37" s="1"/>
  <c r="EG159" i="37"/>
  <c r="EI159" i="37" s="1"/>
  <c r="EK159" i="37" s="1"/>
  <c r="EG166" i="37"/>
  <c r="EI166" i="37" s="1"/>
  <c r="EK166" i="37" s="1"/>
  <c r="EG86" i="37"/>
  <c r="EI86" i="37" s="1"/>
  <c r="EK86" i="37" s="1"/>
  <c r="EG62" i="37"/>
  <c r="EI62" i="37" s="1"/>
  <c r="EK62" i="37" s="1"/>
  <c r="EG72" i="37"/>
  <c r="EI72" i="37" s="1"/>
  <c r="EK72" i="37" s="1"/>
  <c r="EG98" i="37"/>
  <c r="EI98" i="37" s="1"/>
  <c r="EK98" i="37" s="1"/>
  <c r="EG123" i="37"/>
  <c r="EI123" i="37" s="1"/>
  <c r="EK123" i="37" s="1"/>
  <c r="EG156" i="37"/>
  <c r="EI156" i="37" s="1"/>
  <c r="EK156" i="37" s="1"/>
  <c r="EG169" i="37"/>
  <c r="EI169" i="37" s="1"/>
  <c r="EK169" i="37" s="1"/>
  <c r="EG206" i="37"/>
  <c r="EI206" i="37" s="1"/>
  <c r="EK206" i="37" s="1"/>
  <c r="EG29" i="37"/>
  <c r="EI29" i="37" s="1"/>
  <c r="EK29" i="37" s="1"/>
  <c r="EG55" i="37"/>
  <c r="EI55" i="37" s="1"/>
  <c r="EK55" i="37" s="1"/>
  <c r="EG66" i="37"/>
  <c r="EI66" i="37" s="1"/>
  <c r="EK66" i="37" s="1"/>
  <c r="EG80" i="37"/>
  <c r="EI80" i="37" s="1"/>
  <c r="EK80" i="37" s="1"/>
  <c r="EG139" i="37"/>
  <c r="EI139" i="37" s="1"/>
  <c r="EK139" i="37" s="1"/>
  <c r="EI297" i="37"/>
  <c r="EK297" i="37"/>
  <c r="EG297" i="37"/>
  <c r="EG20" i="37"/>
  <c r="EI20" i="37" s="1"/>
  <c r="EK20" i="37" s="1"/>
  <c r="EG26" i="37"/>
  <c r="EI26" i="37" s="1"/>
  <c r="EK26" i="37" s="1"/>
  <c r="EG34" i="37"/>
  <c r="EI34" i="37" s="1"/>
  <c r="EK34" i="37" s="1"/>
  <c r="EG38" i="37"/>
  <c r="EI38" i="37" s="1"/>
  <c r="EK38" i="37" s="1"/>
  <c r="EG42" i="37"/>
  <c r="EI42" i="37" s="1"/>
  <c r="EK42" i="37" s="1"/>
  <c r="EG48" i="37"/>
  <c r="EI48" i="37" s="1"/>
  <c r="EK48" i="37" s="1"/>
  <c r="EG52" i="37"/>
  <c r="EI52" i="37" s="1"/>
  <c r="EK52" i="37" s="1"/>
  <c r="EG63" i="37"/>
  <c r="EI63" i="37" s="1"/>
  <c r="EK63" i="37" s="1"/>
  <c r="EG73" i="37"/>
  <c r="EI73" i="37" s="1"/>
  <c r="EK73" i="37" s="1"/>
  <c r="EG88" i="37"/>
  <c r="EG99" i="37"/>
  <c r="EI99" i="37" s="1"/>
  <c r="EK99" i="37" s="1"/>
  <c r="EG116" i="37"/>
  <c r="EI116" i="37" s="1"/>
  <c r="EK116" i="37" s="1"/>
  <c r="EG147" i="37"/>
  <c r="EI147" i="37" s="1"/>
  <c r="EK147" i="37" s="1"/>
  <c r="EI150" i="37"/>
  <c r="EK150" i="37" s="1"/>
  <c r="EG163" i="37"/>
  <c r="EI163" i="37" s="1"/>
  <c r="EK163" i="37" s="1"/>
  <c r="EG221" i="37"/>
  <c r="EI221" i="37" s="1"/>
  <c r="EK221" i="37" s="1"/>
  <c r="EK291" i="37"/>
  <c r="EI291" i="37"/>
  <c r="EG291" i="37"/>
  <c r="EK294" i="37"/>
  <c r="EI294" i="37"/>
  <c r="EG294" i="37"/>
  <c r="EI22" i="37"/>
  <c r="EK22" i="37" s="1"/>
  <c r="EG91" i="37"/>
  <c r="EI91" i="37" s="1"/>
  <c r="EK91" i="37" s="1"/>
  <c r="EG102" i="37"/>
  <c r="EI102" i="37" s="1"/>
  <c r="EK102" i="37" s="1"/>
  <c r="EG108" i="37"/>
  <c r="EI108" i="37" s="1"/>
  <c r="EK108" i="37" s="1"/>
  <c r="EG198" i="37"/>
  <c r="EI198" i="37" s="1"/>
  <c r="EK198" i="37" s="1"/>
  <c r="EG18" i="37"/>
  <c r="EI18" i="37" s="1"/>
  <c r="EK18" i="37" s="1"/>
  <c r="EG23" i="37"/>
  <c r="EI23" i="37" s="1"/>
  <c r="EK23" i="37" s="1"/>
  <c r="EG39" i="37"/>
  <c r="EI39" i="37" s="1"/>
  <c r="EK39" i="37" s="1"/>
  <c r="EG58" i="37"/>
  <c r="EI58" i="37" s="1"/>
  <c r="EK58" i="37" s="1"/>
  <c r="EG94" i="37"/>
  <c r="EI94" i="37" s="1"/>
  <c r="EK94" i="37" s="1"/>
  <c r="EG109" i="37"/>
  <c r="EI109" i="37" s="1"/>
  <c r="EK109" i="37" s="1"/>
  <c r="EG127" i="37"/>
  <c r="EI127" i="37" s="1"/>
  <c r="EK127" i="37" s="1"/>
  <c r="EG137" i="37"/>
  <c r="EI137" i="37" s="1"/>
  <c r="EK137" i="37" s="1"/>
  <c r="EG203" i="37"/>
  <c r="EI203" i="37" s="1"/>
  <c r="EK203" i="37" s="1"/>
  <c r="EI14" i="37"/>
  <c r="EK14" i="37" s="1"/>
  <c r="EI30" i="37"/>
  <c r="EK30" i="37" s="1"/>
  <c r="EI35" i="37"/>
  <c r="EK35" i="37" s="1"/>
  <c r="EG74" i="37"/>
  <c r="EI74" i="37" s="1"/>
  <c r="EK74" i="37" s="1"/>
  <c r="EG84" i="37"/>
  <c r="EI84" i="37" s="1"/>
  <c r="EK84" i="37" s="1"/>
  <c r="EI88" i="37"/>
  <c r="EK88" i="37" s="1"/>
  <c r="EG124" i="37"/>
  <c r="EI124" i="37" s="1"/>
  <c r="EK124" i="37" s="1"/>
  <c r="EI130" i="37"/>
  <c r="EK130" i="37" s="1"/>
  <c r="EG140" i="37"/>
  <c r="EI140" i="37" s="1"/>
  <c r="EK140" i="37" s="1"/>
  <c r="EG181" i="37"/>
  <c r="EI181" i="37" s="1"/>
  <c r="EK181" i="37" s="1"/>
  <c r="EG207" i="37"/>
  <c r="EI207" i="37" s="1"/>
  <c r="EK207" i="37" s="1"/>
  <c r="EG226" i="37"/>
  <c r="EI226" i="37" s="1"/>
  <c r="EK226" i="37" s="1"/>
  <c r="EG234" i="37"/>
  <c r="EI234" i="37" s="1"/>
  <c r="EK234" i="37" s="1"/>
  <c r="EI314" i="37"/>
  <c r="EK314" i="37"/>
  <c r="EG314" i="37"/>
  <c r="EG60" i="37"/>
  <c r="EI60" i="37" s="1"/>
  <c r="EK60" i="37" s="1"/>
  <c r="EG96" i="37"/>
  <c r="EI96" i="37" s="1"/>
  <c r="EK96" i="37" s="1"/>
  <c r="EG155" i="37"/>
  <c r="EI155" i="37" s="1"/>
  <c r="EK155" i="37" s="1"/>
  <c r="EI16" i="37"/>
  <c r="EK16" i="37" s="1"/>
  <c r="EG24" i="37"/>
  <c r="EI24" i="37" s="1"/>
  <c r="EK24" i="37" s="1"/>
  <c r="EG32" i="37"/>
  <c r="EI32" i="37" s="1"/>
  <c r="EK32" i="37" s="1"/>
  <c r="EG49" i="37"/>
  <c r="EI49" i="37" s="1"/>
  <c r="EK49" i="37" s="1"/>
  <c r="EG56" i="37"/>
  <c r="EI56" i="37" s="1"/>
  <c r="EK56" i="37" s="1"/>
  <c r="EG67" i="37"/>
  <c r="EI67" i="37" s="1"/>
  <c r="EK67" i="37" s="1"/>
  <c r="EI70" i="37"/>
  <c r="EK70" i="37" s="1"/>
  <c r="EG78" i="37"/>
  <c r="EI78" i="37" s="1"/>
  <c r="EK78" i="37" s="1"/>
  <c r="EG92" i="37"/>
  <c r="EI92" i="37" s="1"/>
  <c r="EK92" i="37" s="1"/>
  <c r="EG103" i="37"/>
  <c r="EI103" i="37" s="1"/>
  <c r="EK103" i="37" s="1"/>
  <c r="EG110" i="37"/>
  <c r="EI110" i="37" s="1"/>
  <c r="EK110" i="37" s="1"/>
  <c r="EG164" i="37"/>
  <c r="EI164" i="37" s="1"/>
  <c r="EK164" i="37" s="1"/>
  <c r="EG178" i="37"/>
  <c r="EI178" i="37" s="1"/>
  <c r="EK178" i="37" s="1"/>
  <c r="EI285" i="37"/>
  <c r="EK285" i="37"/>
  <c r="EG285" i="37"/>
  <c r="EG17" i="37"/>
  <c r="EI17" i="37" s="1"/>
  <c r="EK17" i="37" s="1"/>
  <c r="EG25" i="37"/>
  <c r="EI25" i="37" s="1"/>
  <c r="EK25" i="37" s="1"/>
  <c r="EG54" i="37"/>
  <c r="EI54" i="37" s="1"/>
  <c r="EK54" i="37" s="1"/>
  <c r="EG68" i="37"/>
  <c r="EI68" i="37" s="1"/>
  <c r="EK68" i="37" s="1"/>
  <c r="EG79" i="37"/>
  <c r="EI79" i="37" s="1"/>
  <c r="EK79" i="37" s="1"/>
  <c r="EI82" i="37"/>
  <c r="EK82" i="37" s="1"/>
  <c r="EG90" i="37"/>
  <c r="EI90" i="37" s="1"/>
  <c r="EK90" i="37" s="1"/>
  <c r="EG9" i="37"/>
  <c r="EI9" i="37" s="1"/>
  <c r="EK9" i="37" s="1"/>
  <c r="EG43" i="37"/>
  <c r="EI43" i="37" s="1"/>
  <c r="EK43" i="37" s="1"/>
  <c r="EG64" i="37"/>
  <c r="EI64" i="37" s="1"/>
  <c r="EK64" i="37" s="1"/>
  <c r="EG75" i="37"/>
  <c r="EI75" i="37" s="1"/>
  <c r="EK75" i="37" s="1"/>
  <c r="EG85" i="37"/>
  <c r="EI85" i="37" s="1"/>
  <c r="EK85" i="37" s="1"/>
  <c r="EG100" i="37"/>
  <c r="EI100" i="37" s="1"/>
  <c r="EK100" i="37" s="1"/>
  <c r="EI106" i="37"/>
  <c r="EK106" i="37" s="1"/>
  <c r="EG114" i="37"/>
  <c r="EI114" i="37" s="1"/>
  <c r="EK114" i="37" s="1"/>
  <c r="EG120" i="37"/>
  <c r="EI120" i="37" s="1"/>
  <c r="EK120" i="37" s="1"/>
  <c r="EG134" i="37"/>
  <c r="EI134" i="37" s="1"/>
  <c r="EK134" i="37" s="1"/>
  <c r="EG144" i="37"/>
  <c r="EI144" i="37" s="1"/>
  <c r="EK144" i="37" s="1"/>
  <c r="EG161" i="37"/>
  <c r="EI161" i="37" s="1"/>
  <c r="EK161" i="37" s="1"/>
  <c r="EK331" i="37"/>
  <c r="EG331" i="37"/>
  <c r="EI331" i="37"/>
  <c r="EG179" i="37"/>
  <c r="EI179" i="37" s="1"/>
  <c r="EK179" i="37" s="1"/>
  <c r="EK377" i="37"/>
  <c r="EI377" i="37"/>
  <c r="EG377" i="37"/>
  <c r="EK439" i="37"/>
  <c r="EI439" i="37"/>
  <c r="EG439" i="37"/>
  <c r="EK474" i="37"/>
  <c r="EI474" i="37"/>
  <c r="EG474" i="37"/>
  <c r="EG36" i="37"/>
  <c r="EI36" i="37" s="1"/>
  <c r="EK36" i="37" s="1"/>
  <c r="EG40" i="37"/>
  <c r="EI40" i="37" s="1"/>
  <c r="EK40" i="37" s="1"/>
  <c r="EI46" i="37"/>
  <c r="EK46" i="37" s="1"/>
  <c r="EI50" i="37"/>
  <c r="EK50" i="37" s="1"/>
  <c r="EG111" i="37"/>
  <c r="EI111" i="37" s="1"/>
  <c r="EK111" i="37" s="1"/>
  <c r="EG128" i="37"/>
  <c r="EI128" i="37" s="1"/>
  <c r="EK128" i="37" s="1"/>
  <c r="EG131" i="37"/>
  <c r="EI131" i="37" s="1"/>
  <c r="EK131" i="37" s="1"/>
  <c r="EG158" i="37"/>
  <c r="EI158" i="37" s="1"/>
  <c r="EK158" i="37" s="1"/>
  <c r="EG182" i="37"/>
  <c r="EI182" i="37" s="1"/>
  <c r="EK182" i="37" s="1"/>
  <c r="EG231" i="37"/>
  <c r="EI231" i="37" s="1"/>
  <c r="EK231" i="37" s="1"/>
  <c r="EG243" i="37"/>
  <c r="EI243" i="37" s="1"/>
  <c r="EK243" i="37" s="1"/>
  <c r="EI59" i="37"/>
  <c r="EK59" i="37" s="1"/>
  <c r="EI71" i="37"/>
  <c r="EK71" i="37" s="1"/>
  <c r="EI83" i="37"/>
  <c r="EK83" i="37" s="1"/>
  <c r="EI95" i="37"/>
  <c r="EK95" i="37" s="1"/>
  <c r="EI107" i="37"/>
  <c r="EK107" i="37" s="1"/>
  <c r="EI119" i="37"/>
  <c r="EK119" i="37" s="1"/>
  <c r="EI133" i="37"/>
  <c r="EK133" i="37" s="1"/>
  <c r="EI153" i="37"/>
  <c r="EK153" i="37" s="1"/>
  <c r="EI167" i="37"/>
  <c r="EK167" i="37" s="1"/>
  <c r="EG215" i="37"/>
  <c r="EI215" i="37" s="1"/>
  <c r="EK215" i="37" s="1"/>
  <c r="EG241" i="37"/>
  <c r="EI241" i="37" s="1"/>
  <c r="EK241" i="37" s="1"/>
  <c r="EG247" i="37"/>
  <c r="EI247" i="37" s="1"/>
  <c r="EK247" i="37" s="1"/>
  <c r="EK269" i="37"/>
  <c r="EI269" i="37"/>
  <c r="EG269" i="37"/>
  <c r="EK319" i="37"/>
  <c r="EG319" i="37"/>
  <c r="EI319" i="37"/>
  <c r="EK450" i="37"/>
  <c r="EI450" i="37"/>
  <c r="EG450" i="37"/>
  <c r="EK485" i="37"/>
  <c r="EI485" i="37"/>
  <c r="EG485" i="37"/>
  <c r="EG490" i="37"/>
  <c r="EK490" i="37"/>
  <c r="EI490" i="37"/>
  <c r="EG157" i="37"/>
  <c r="EI157" i="37" s="1"/>
  <c r="EK157" i="37" s="1"/>
  <c r="EI186" i="37"/>
  <c r="EK186" i="37" s="1"/>
  <c r="EG200" i="37"/>
  <c r="EI200" i="37" s="1"/>
  <c r="EK200" i="37" s="1"/>
  <c r="EI209" i="37"/>
  <c r="EK209" i="37" s="1"/>
  <c r="EG212" i="37"/>
  <c r="EI212" i="37" s="1"/>
  <c r="EK212" i="37" s="1"/>
  <c r="EG238" i="37"/>
  <c r="EI238" i="37" s="1"/>
  <c r="EK238" i="37" s="1"/>
  <c r="EK251" i="37"/>
  <c r="EG260" i="37"/>
  <c r="EI260" i="37" s="1"/>
  <c r="EK260" i="37" s="1"/>
  <c r="EI263" i="37"/>
  <c r="EK282" i="37"/>
  <c r="EI282" i="37"/>
  <c r="EK371" i="37"/>
  <c r="EI371" i="37"/>
  <c r="EG371" i="37"/>
  <c r="EK374" i="37"/>
  <c r="EI374" i="37"/>
  <c r="EG374" i="37"/>
  <c r="EG189" i="37"/>
  <c r="EI189" i="37" s="1"/>
  <c r="EK189" i="37" s="1"/>
  <c r="EG195" i="37"/>
  <c r="EI195" i="37" s="1"/>
  <c r="EK195" i="37" s="1"/>
  <c r="EI222" i="37"/>
  <c r="EK222" i="37" s="1"/>
  <c r="EG225" i="37"/>
  <c r="EI225" i="37" s="1"/>
  <c r="EK225" i="37" s="1"/>
  <c r="EG257" i="37"/>
  <c r="EI257" i="37" s="1"/>
  <c r="EK257" i="37" s="1"/>
  <c r="EK289" i="37"/>
  <c r="EI289" i="37"/>
  <c r="EG289" i="37"/>
  <c r="EI301" i="37"/>
  <c r="EK301" i="37"/>
  <c r="EG301" i="37"/>
  <c r="EK422" i="37"/>
  <c r="EI422" i="37"/>
  <c r="EG422" i="37"/>
  <c r="EG148" i="37"/>
  <c r="EI148" i="37" s="1"/>
  <c r="EK148" i="37" s="1"/>
  <c r="EG168" i="37"/>
  <c r="EI168" i="37" s="1"/>
  <c r="EK168" i="37" s="1"/>
  <c r="EG174" i="37"/>
  <c r="EI174" i="37" s="1"/>
  <c r="EK174" i="37" s="1"/>
  <c r="EG219" i="37"/>
  <c r="EI219" i="37" s="1"/>
  <c r="EK219" i="37" s="1"/>
  <c r="EG229" i="37"/>
  <c r="EI229" i="37" s="1"/>
  <c r="EK229" i="37" s="1"/>
  <c r="EG235" i="37"/>
  <c r="EI235" i="37" s="1"/>
  <c r="EK235" i="37" s="1"/>
  <c r="EK270" i="37"/>
  <c r="EI270" i="37"/>
  <c r="EK286" i="37"/>
  <c r="EI286" i="37"/>
  <c r="EG286" i="37"/>
  <c r="EK298" i="37"/>
  <c r="EI298" i="37"/>
  <c r="EG298" i="37"/>
  <c r="EK343" i="37"/>
  <c r="EG343" i="37"/>
  <c r="EI343" i="37"/>
  <c r="EK364" i="37"/>
  <c r="EI364" i="37"/>
  <c r="EG364" i="37"/>
  <c r="EI368" i="37"/>
  <c r="EG368" i="37"/>
  <c r="EK368" i="37"/>
  <c r="EG248" i="37"/>
  <c r="EI248" i="37" s="1"/>
  <c r="EK248" i="37" s="1"/>
  <c r="EK267" i="37"/>
  <c r="EI267" i="37"/>
  <c r="EG267" i="37"/>
  <c r="EK358" i="37"/>
  <c r="EI358" i="37"/>
  <c r="EG358" i="37"/>
  <c r="EI416" i="37"/>
  <c r="EG416" i="37"/>
  <c r="EK416" i="37"/>
  <c r="EG41" i="37"/>
  <c r="EI41" i="37" s="1"/>
  <c r="EK41" i="37" s="1"/>
  <c r="EG53" i="37"/>
  <c r="EI53" i="37" s="1"/>
  <c r="EK53" i="37" s="1"/>
  <c r="EG65" i="37"/>
  <c r="EI65" i="37" s="1"/>
  <c r="EK65" i="37" s="1"/>
  <c r="EG77" i="37"/>
  <c r="EI77" i="37" s="1"/>
  <c r="EK77" i="37" s="1"/>
  <c r="EG89" i="37"/>
  <c r="EI89" i="37" s="1"/>
  <c r="EK89" i="37" s="1"/>
  <c r="EG101" i="37"/>
  <c r="EI101" i="37" s="1"/>
  <c r="EK101" i="37" s="1"/>
  <c r="EG113" i="37"/>
  <c r="EI113" i="37" s="1"/>
  <c r="EK113" i="37" s="1"/>
  <c r="EG125" i="37"/>
  <c r="EI125" i="37" s="1"/>
  <c r="EK125" i="37" s="1"/>
  <c r="EI132" i="37"/>
  <c r="EK132" i="37" s="1"/>
  <c r="EI141" i="37"/>
  <c r="EK141" i="37" s="1"/>
  <c r="EG143" i="37"/>
  <c r="EI143" i="37" s="1"/>
  <c r="EK143" i="37" s="1"/>
  <c r="EG152" i="37"/>
  <c r="EI152" i="37" s="1"/>
  <c r="EK152" i="37" s="1"/>
  <c r="EI170" i="37"/>
  <c r="EK170" i="37" s="1"/>
  <c r="EI172" i="37"/>
  <c r="EK172" i="37" s="1"/>
  <c r="EG184" i="37"/>
  <c r="EI184" i="37" s="1"/>
  <c r="EK184" i="37" s="1"/>
  <c r="EG193" i="37"/>
  <c r="EI193" i="37" s="1"/>
  <c r="EK193" i="37" s="1"/>
  <c r="EG201" i="37"/>
  <c r="EI201" i="37" s="1"/>
  <c r="EK201" i="37" s="1"/>
  <c r="EI210" i="37"/>
  <c r="EK210" i="37" s="1"/>
  <c r="EG213" i="37"/>
  <c r="EI213" i="37" s="1"/>
  <c r="EK213" i="37" s="1"/>
  <c r="EG245" i="37"/>
  <c r="EI245" i="37" s="1"/>
  <c r="EK245" i="37" s="1"/>
  <c r="EI258" i="37"/>
  <c r="EK258" i="37" s="1"/>
  <c r="EG261" i="37"/>
  <c r="EI261" i="37" s="1"/>
  <c r="EK261" i="37" s="1"/>
  <c r="EK274" i="37"/>
  <c r="EI274" i="37"/>
  <c r="EG274" i="37"/>
  <c r="EK277" i="37"/>
  <c r="EI277" i="37"/>
  <c r="EG277" i="37"/>
  <c r="EI283" i="37"/>
  <c r="EG283" i="37"/>
  <c r="EK406" i="37"/>
  <c r="EI406" i="37"/>
  <c r="EG406" i="37"/>
  <c r="EG154" i="37"/>
  <c r="EI154" i="37" s="1"/>
  <c r="EK154" i="37" s="1"/>
  <c r="EG217" i="37"/>
  <c r="EI217" i="37" s="1"/>
  <c r="EK217" i="37" s="1"/>
  <c r="EG223" i="37"/>
  <c r="EI223" i="37" s="1"/>
  <c r="EK223" i="37" s="1"/>
  <c r="EG239" i="37"/>
  <c r="EI239" i="37" s="1"/>
  <c r="EK239" i="37" s="1"/>
  <c r="EI249" i="37"/>
  <c r="EK249" i="37" s="1"/>
  <c r="EG270" i="37"/>
  <c r="EI149" i="37"/>
  <c r="EK149" i="37" s="1"/>
  <c r="EG175" i="37"/>
  <c r="EI175" i="37" s="1"/>
  <c r="EK175" i="37" s="1"/>
  <c r="EG187" i="37"/>
  <c r="EI187" i="37" s="1"/>
  <c r="EK187" i="37" s="1"/>
  <c r="EG202" i="37"/>
  <c r="EI202" i="37" s="1"/>
  <c r="EK202" i="37" s="1"/>
  <c r="EG205" i="37"/>
  <c r="EI205" i="37" s="1"/>
  <c r="EK205" i="37" s="1"/>
  <c r="EG214" i="37"/>
  <c r="EI214" i="37" s="1"/>
  <c r="EK214" i="37" s="1"/>
  <c r="EG236" i="37"/>
  <c r="EI236" i="37" s="1"/>
  <c r="EK236" i="37" s="1"/>
  <c r="EK262" i="37"/>
  <c r="EI262" i="37"/>
  <c r="EG262" i="37"/>
  <c r="EK265" i="37"/>
  <c r="EI265" i="37"/>
  <c r="EG265" i="37"/>
  <c r="EI271" i="37"/>
  <c r="EG271" i="37"/>
  <c r="EK283" i="37"/>
  <c r="EG287" i="37"/>
  <c r="EK293" i="37"/>
  <c r="EI293" i="37"/>
  <c r="EG293" i="37"/>
  <c r="EG299" i="37"/>
  <c r="EI334" i="37"/>
  <c r="EK334" i="37"/>
  <c r="EG334" i="37"/>
  <c r="EK355" i="37"/>
  <c r="EG355" i="37"/>
  <c r="EI355" i="37"/>
  <c r="EG233" i="37"/>
  <c r="EI233" i="37" s="1"/>
  <c r="EK233" i="37" s="1"/>
  <c r="EI246" i="37"/>
  <c r="EK246" i="37" s="1"/>
  <c r="EK403" i="37"/>
  <c r="EG403" i="37"/>
  <c r="EI403" i="37"/>
  <c r="EG33" i="37"/>
  <c r="EI33" i="37" s="1"/>
  <c r="EK33" i="37" s="1"/>
  <c r="EG45" i="37"/>
  <c r="EI45" i="37" s="1"/>
  <c r="EK45" i="37" s="1"/>
  <c r="EG57" i="37"/>
  <c r="EI57" i="37" s="1"/>
  <c r="EK57" i="37" s="1"/>
  <c r="EG69" i="37"/>
  <c r="EI69" i="37" s="1"/>
  <c r="EK69" i="37" s="1"/>
  <c r="EG81" i="37"/>
  <c r="EI81" i="37" s="1"/>
  <c r="EK81" i="37" s="1"/>
  <c r="EG93" i="37"/>
  <c r="EI93" i="37" s="1"/>
  <c r="EK93" i="37" s="1"/>
  <c r="EG173" i="37"/>
  <c r="EI173" i="37" s="1"/>
  <c r="EK173" i="37" s="1"/>
  <c r="EG194" i="37"/>
  <c r="EI194" i="37" s="1"/>
  <c r="EK194" i="37" s="1"/>
  <c r="EI196" i="37"/>
  <c r="EK196" i="37" s="1"/>
  <c r="EG211" i="37"/>
  <c r="EI211" i="37" s="1"/>
  <c r="EK211" i="37" s="1"/>
  <c r="EG227" i="37"/>
  <c r="EI227" i="37" s="1"/>
  <c r="EK227" i="37" s="1"/>
  <c r="EI237" i="37"/>
  <c r="EK237" i="37" s="1"/>
  <c r="EG253" i="37"/>
  <c r="EI253" i="37" s="1"/>
  <c r="EK253" i="37" s="1"/>
  <c r="EG259" i="37"/>
  <c r="EI259" i="37" s="1"/>
  <c r="EK259" i="37" s="1"/>
  <c r="EK271" i="37"/>
  <c r="EK284" i="37"/>
  <c r="EI284" i="37"/>
  <c r="EG284" i="37"/>
  <c r="EK296" i="37"/>
  <c r="EI296" i="37"/>
  <c r="EG296" i="37"/>
  <c r="EI348" i="37"/>
  <c r="EK348" i="37"/>
  <c r="EG348" i="37"/>
  <c r="EG21" i="37"/>
  <c r="EI21" i="37" s="1"/>
  <c r="EK21" i="37" s="1"/>
  <c r="EG171" i="37"/>
  <c r="EI171" i="37" s="1"/>
  <c r="EK171" i="37" s="1"/>
  <c r="EG176" i="37"/>
  <c r="EI176" i="37" s="1"/>
  <c r="EK176" i="37" s="1"/>
  <c r="EG183" i="37"/>
  <c r="EI183" i="37" s="1"/>
  <c r="EK183" i="37" s="1"/>
  <c r="EG185" i="37"/>
  <c r="EI185" i="37" s="1"/>
  <c r="EK185" i="37" s="1"/>
  <c r="EG188" i="37"/>
  <c r="EI188" i="37" s="1"/>
  <c r="EK188" i="37" s="1"/>
  <c r="EG191" i="37"/>
  <c r="EI191" i="37" s="1"/>
  <c r="EK191" i="37" s="1"/>
  <c r="EG199" i="37"/>
  <c r="EI199" i="37" s="1"/>
  <c r="EK199" i="37" s="1"/>
  <c r="EG224" i="37"/>
  <c r="EI224" i="37" s="1"/>
  <c r="EK224" i="37" s="1"/>
  <c r="EG250" i="37"/>
  <c r="EI250" i="37" s="1"/>
  <c r="EK250" i="37" s="1"/>
  <c r="EK281" i="37"/>
  <c r="EI281" i="37"/>
  <c r="EG281" i="37"/>
  <c r="EK390" i="37"/>
  <c r="EI390" i="37"/>
  <c r="EG390" i="37"/>
  <c r="EI307" i="37"/>
  <c r="EK394" i="37"/>
  <c r="EI394" i="37"/>
  <c r="EK412" i="37"/>
  <c r="EI412" i="37"/>
  <c r="EG412" i="37"/>
  <c r="EK426" i="37"/>
  <c r="EI426" i="37"/>
  <c r="EG426" i="37"/>
  <c r="EK446" i="37"/>
  <c r="EI446" i="37"/>
  <c r="EG446" i="37"/>
  <c r="EK475" i="37"/>
  <c r="EI475" i="37"/>
  <c r="EG475" i="37"/>
  <c r="EK496" i="37"/>
  <c r="EI496" i="37"/>
  <c r="EG496" i="37"/>
  <c r="EI305" i="37"/>
  <c r="EK365" i="37"/>
  <c r="EI365" i="37"/>
  <c r="EG365" i="37"/>
  <c r="EK378" i="37"/>
  <c r="EI378" i="37"/>
  <c r="EG378" i="37"/>
  <c r="EK391" i="37"/>
  <c r="EG391" i="37"/>
  <c r="EK430" i="37"/>
  <c r="EI430" i="37"/>
  <c r="EI440" i="37"/>
  <c r="EG440" i="37"/>
  <c r="EK451" i="37"/>
  <c r="EI451" i="37"/>
  <c r="EG451" i="37"/>
  <c r="EK460" i="37"/>
  <c r="EI460" i="37"/>
  <c r="EG460" i="37"/>
  <c r="EK486" i="37"/>
  <c r="EI486" i="37"/>
  <c r="EG486" i="37"/>
  <c r="EK328" i="37"/>
  <c r="EI328" i="37"/>
  <c r="EG328" i="37"/>
  <c r="EK413" i="37"/>
  <c r="EI413" i="37"/>
  <c r="EG413" i="37"/>
  <c r="EK436" i="37"/>
  <c r="EI436" i="37"/>
  <c r="EG436" i="37"/>
  <c r="EK476" i="37"/>
  <c r="EI476" i="37"/>
  <c r="EG476" i="37"/>
  <c r="EK497" i="37"/>
  <c r="EI497" i="37"/>
  <c r="EG497" i="37"/>
  <c r="EG310" i="37"/>
  <c r="EG312" i="37"/>
  <c r="EK340" i="37"/>
  <c r="EI340" i="37"/>
  <c r="EG340" i="37"/>
  <c r="EG346" i="37"/>
  <c r="EK352" i="37"/>
  <c r="EI352" i="37"/>
  <c r="EG352" i="37"/>
  <c r="EI356" i="37"/>
  <c r="EG356" i="37"/>
  <c r="EK359" i="37"/>
  <c r="EI359" i="37"/>
  <c r="EG359" i="37"/>
  <c r="EK362" i="37"/>
  <c r="EI362" i="37"/>
  <c r="EK382" i="37"/>
  <c r="EI382" i="37"/>
  <c r="EG394" i="37"/>
  <c r="EK400" i="37"/>
  <c r="EI400" i="37"/>
  <c r="EG400" i="37"/>
  <c r="EI404" i="37"/>
  <c r="EG404" i="37"/>
  <c r="EK407" i="37"/>
  <c r="EI407" i="37"/>
  <c r="EG407" i="37"/>
  <c r="EK410" i="37"/>
  <c r="EI410" i="37"/>
  <c r="EK427" i="37"/>
  <c r="EI427" i="37"/>
  <c r="EG427" i="37"/>
  <c r="EK452" i="37"/>
  <c r="EI452" i="37"/>
  <c r="EG452" i="37"/>
  <c r="EK461" i="37"/>
  <c r="EI461" i="37"/>
  <c r="EG461" i="37"/>
  <c r="EK487" i="37"/>
  <c r="EI487" i="37"/>
  <c r="EG487" i="37"/>
  <c r="EK306" i="37"/>
  <c r="EI306" i="37"/>
  <c r="EK323" i="37"/>
  <c r="EI323" i="37"/>
  <c r="EG323" i="37"/>
  <c r="EK329" i="37"/>
  <c r="EG329" i="37"/>
  <c r="EK366" i="37"/>
  <c r="EI366" i="37"/>
  <c r="EG366" i="37"/>
  <c r="EK379" i="37"/>
  <c r="EG379" i="37"/>
  <c r="EG430" i="37"/>
  <c r="EK437" i="37"/>
  <c r="EI437" i="37"/>
  <c r="EG437" i="37"/>
  <c r="EK498" i="37"/>
  <c r="EI498" i="37"/>
  <c r="EG498" i="37"/>
  <c r="EG180" i="37"/>
  <c r="EI180" i="37" s="1"/>
  <c r="EK180" i="37" s="1"/>
  <c r="EG192" i="37"/>
  <c r="EI192" i="37" s="1"/>
  <c r="EK192" i="37" s="1"/>
  <c r="EG204" i="37"/>
  <c r="EI204" i="37" s="1"/>
  <c r="EK204" i="37" s="1"/>
  <c r="EG216" i="37"/>
  <c r="EI216" i="37" s="1"/>
  <c r="EK216" i="37" s="1"/>
  <c r="EG228" i="37"/>
  <c r="EI228" i="37" s="1"/>
  <c r="EK228" i="37" s="1"/>
  <c r="EG240" i="37"/>
  <c r="EI240" i="37" s="1"/>
  <c r="EK240" i="37" s="1"/>
  <c r="EG252" i="37"/>
  <c r="EI252" i="37" s="1"/>
  <c r="EK252" i="37" s="1"/>
  <c r="EG264" i="37"/>
  <c r="EG276" i="37"/>
  <c r="EG288" i="37"/>
  <c r="EG300" i="37"/>
  <c r="EK308" i="37"/>
  <c r="EI317" i="37"/>
  <c r="EK326" i="37"/>
  <c r="EI326" i="37"/>
  <c r="EI332" i="37"/>
  <c r="EK335" i="37"/>
  <c r="EI335" i="37"/>
  <c r="EG335" i="37"/>
  <c r="EK341" i="37"/>
  <c r="EG341" i="37"/>
  <c r="EK353" i="37"/>
  <c r="EI353" i="37"/>
  <c r="EG353" i="37"/>
  <c r="EK356" i="37"/>
  <c r="EG362" i="37"/>
  <c r="EK388" i="37"/>
  <c r="EI388" i="37"/>
  <c r="EG388" i="37"/>
  <c r="EI392" i="37"/>
  <c r="EG392" i="37"/>
  <c r="EK395" i="37"/>
  <c r="EI395" i="37"/>
  <c r="EG395" i="37"/>
  <c r="EK401" i="37"/>
  <c r="EI401" i="37"/>
  <c r="EG401" i="37"/>
  <c r="EK404" i="37"/>
  <c r="EG410" i="37"/>
  <c r="EK414" i="37"/>
  <c r="EI414" i="37"/>
  <c r="EG414" i="37"/>
  <c r="EK462" i="37"/>
  <c r="EI462" i="37"/>
  <c r="EG462" i="37"/>
  <c r="EK488" i="37"/>
  <c r="EI488" i="37"/>
  <c r="EG488" i="37"/>
  <c r="EG306" i="37"/>
  <c r="EI313" i="37"/>
  <c r="EG313" i="37"/>
  <c r="EG315" i="37"/>
  <c r="EK318" i="37"/>
  <c r="EI318" i="37"/>
  <c r="EK338" i="37"/>
  <c r="EI338" i="37"/>
  <c r="EI344" i="37"/>
  <c r="EK347" i="37"/>
  <c r="EI347" i="37"/>
  <c r="EG347" i="37"/>
  <c r="EK370" i="37"/>
  <c r="EI370" i="37"/>
  <c r="EK398" i="37"/>
  <c r="EI398" i="37"/>
  <c r="EK418" i="37"/>
  <c r="EI418" i="37"/>
  <c r="EI428" i="37"/>
  <c r="EG428" i="37"/>
  <c r="EK434" i="37"/>
  <c r="EI434" i="37"/>
  <c r="EG434" i="37"/>
  <c r="EK472" i="37"/>
  <c r="EI472" i="37"/>
  <c r="EG472" i="37"/>
  <c r="EK499" i="37"/>
  <c r="EI499" i="37"/>
  <c r="EG499" i="37"/>
  <c r="EG218" i="37"/>
  <c r="EI218" i="37" s="1"/>
  <c r="EK218" i="37" s="1"/>
  <c r="EG230" i="37"/>
  <c r="EI230" i="37" s="1"/>
  <c r="EK230" i="37" s="1"/>
  <c r="EG242" i="37"/>
  <c r="EI242" i="37" s="1"/>
  <c r="EK242" i="37" s="1"/>
  <c r="EG254" i="37"/>
  <c r="EI254" i="37" s="1"/>
  <c r="EK254" i="37" s="1"/>
  <c r="EG266" i="37"/>
  <c r="EG278" i="37"/>
  <c r="EG290" i="37"/>
  <c r="EG304" i="37"/>
  <c r="EK311" i="37"/>
  <c r="EG311" i="37"/>
  <c r="EK321" i="37"/>
  <c r="EI321" i="37"/>
  <c r="EG321" i="37"/>
  <c r="EI329" i="37"/>
  <c r="EK344" i="37"/>
  <c r="EK350" i="37"/>
  <c r="EI350" i="37"/>
  <c r="EK367" i="37"/>
  <c r="EG367" i="37"/>
  <c r="EI379" i="37"/>
  <c r="EK389" i="37"/>
  <c r="EI389" i="37"/>
  <c r="EG389" i="37"/>
  <c r="EK392" i="37"/>
  <c r="EK424" i="37"/>
  <c r="EI424" i="37"/>
  <c r="EG424" i="37"/>
  <c r="EK438" i="37"/>
  <c r="EI438" i="37"/>
  <c r="EG438" i="37"/>
  <c r="EK448" i="37"/>
  <c r="EI448" i="37"/>
  <c r="EG448" i="37"/>
  <c r="EK463" i="37"/>
  <c r="EI463" i="37"/>
  <c r="EG463" i="37"/>
  <c r="EK330" i="37"/>
  <c r="EI330" i="37"/>
  <c r="EG330" i="37"/>
  <c r="EK333" i="37"/>
  <c r="EI333" i="37"/>
  <c r="EG333" i="37"/>
  <c r="EG338" i="37"/>
  <c r="EK354" i="37"/>
  <c r="EI354" i="37"/>
  <c r="EG354" i="37"/>
  <c r="EK376" i="37"/>
  <c r="EI376" i="37"/>
  <c r="EG376" i="37"/>
  <c r="EI380" i="37"/>
  <c r="EG380" i="37"/>
  <c r="EK383" i="37"/>
  <c r="EI383" i="37"/>
  <c r="EG383" i="37"/>
  <c r="EK386" i="37"/>
  <c r="EI386" i="37"/>
  <c r="EG398" i="37"/>
  <c r="EK402" i="37"/>
  <c r="EI402" i="37"/>
  <c r="EG402" i="37"/>
  <c r="EK415" i="37"/>
  <c r="EI415" i="37"/>
  <c r="EG415" i="37"/>
  <c r="EK428" i="37"/>
  <c r="EK442" i="37"/>
  <c r="EI442" i="37"/>
  <c r="EK473" i="37"/>
  <c r="EI473" i="37"/>
  <c r="EG473" i="37"/>
  <c r="EG478" i="37"/>
  <c r="EK478" i="37"/>
  <c r="EI478" i="37"/>
  <c r="EK500" i="37"/>
  <c r="EI500" i="37"/>
  <c r="EG500" i="37"/>
  <c r="EK313" i="37"/>
  <c r="EK342" i="37"/>
  <c r="EI342" i="37"/>
  <c r="EG342" i="37"/>
  <c r="EK345" i="37"/>
  <c r="EI345" i="37"/>
  <c r="EG345" i="37"/>
  <c r="EG370" i="37"/>
  <c r="EG418" i="37"/>
  <c r="EK425" i="37"/>
  <c r="EI425" i="37"/>
  <c r="EG425" i="37"/>
  <c r="EK449" i="37"/>
  <c r="EI449" i="37"/>
  <c r="EG449" i="37"/>
  <c r="EK464" i="37"/>
  <c r="EI464" i="37"/>
  <c r="EG464" i="37"/>
  <c r="EK484" i="37"/>
  <c r="EI484" i="37"/>
  <c r="EG484" i="37"/>
  <c r="EI466" i="37"/>
  <c r="EG360" i="37"/>
  <c r="EG372" i="37"/>
  <c r="EG384" i="37"/>
  <c r="EG408" i="37"/>
  <c r="EG420" i="37"/>
  <c r="EG432" i="37"/>
  <c r="EG444" i="37"/>
  <c r="EG456" i="37"/>
  <c r="EG468" i="37"/>
  <c r="EG480" i="37"/>
  <c r="EG492" i="37"/>
  <c r="EG357" i="37"/>
  <c r="EG369" i="37"/>
  <c r="EG381" i="37"/>
  <c r="EG393" i="37"/>
  <c r="EG405" i="37"/>
  <c r="EG417" i="37"/>
  <c r="EG429" i="37"/>
  <c r="EG441" i="37"/>
  <c r="EG453" i="37"/>
  <c r="EG465" i="37"/>
  <c r="EG477" i="37"/>
  <c r="EG489" i="37"/>
  <c r="EI357" i="37"/>
  <c r="EI369" i="37"/>
  <c r="EI381" i="37"/>
  <c r="EI393" i="37"/>
  <c r="EI405" i="37"/>
  <c r="EI417" i="37"/>
  <c r="EI429" i="37"/>
  <c r="EI441" i="37"/>
  <c r="EI453" i="37"/>
  <c r="EI465" i="37"/>
  <c r="EI477" i="37"/>
  <c r="EI489" i="37"/>
  <c r="EG419" i="37"/>
  <c r="EG431" i="37"/>
  <c r="EG443" i="37"/>
  <c r="EG455" i="37"/>
  <c r="EG467" i="37"/>
  <c r="EG479" i="37"/>
  <c r="EG491" i="37"/>
  <c r="EI419" i="37"/>
  <c r="EI431" i="37"/>
  <c r="EI443" i="37"/>
  <c r="EI455" i="37"/>
  <c r="EI467" i="37"/>
  <c r="EI479" i="37"/>
  <c r="EI491" i="37"/>
  <c r="EG325" i="37"/>
  <c r="EG337" i="37"/>
  <c r="EG349" i="37"/>
  <c r="EG361" i="37"/>
  <c r="EG373" i="37"/>
  <c r="EG385" i="37"/>
  <c r="EG397" i="37"/>
  <c r="EG409" i="37"/>
  <c r="EG421" i="37"/>
  <c r="EG433" i="37"/>
  <c r="EG445" i="37"/>
  <c r="EG457" i="37"/>
  <c r="EG469" i="37"/>
  <c r="EG481" i="37"/>
  <c r="EG493" i="37"/>
  <c r="EG8" i="37"/>
  <c r="EI8" i="37" s="1"/>
  <c r="EK8" i="37" s="1"/>
  <c r="B6" i="61" l="1"/>
  <c r="B5" i="61"/>
  <c r="B4" i="61"/>
  <c r="B3" i="61"/>
  <c r="B2" i="61"/>
  <c r="EK5" i="37" l="1"/>
  <c r="F154" i="70" l="1"/>
  <c r="H156" i="70" s="1"/>
  <c r="A154" i="69" l="1"/>
  <c r="H152" i="70" l="1"/>
  <c r="H158" i="70" s="1"/>
  <c r="C156" i="69"/>
  <c r="A156" i="69"/>
  <c r="D21" i="70" s="1"/>
  <c r="C154" i="69"/>
  <c r="D23" i="70" s="1"/>
  <c r="D154" i="70" l="1"/>
  <c r="H154" i="70"/>
  <c r="E156" i="69"/>
  <c r="D22" i="70" s="1"/>
  <c r="AZ1" i="30" l="1"/>
  <c r="CY24" i="37" l="1"/>
  <c r="CY25" i="37" l="1"/>
  <c r="CY22" i="37"/>
  <c r="CY23" i="37"/>
  <c r="G55" i="62" l="1"/>
  <c r="I55" i="62" l="1"/>
  <c r="H55" i="62" l="1"/>
  <c r="EO41" i="37" l="1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G16" i="37" l="1"/>
  <c r="G10" i="37"/>
  <c r="BX9" i="37"/>
  <c r="G14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U8" i="37" l="1"/>
  <c r="CR31" i="37"/>
  <c r="CS31" i="37" s="1"/>
  <c r="CR28" i="37"/>
  <c r="CS28" i="37" s="1"/>
  <c r="CR25" i="37"/>
  <c r="CS25" i="37" s="1"/>
  <c r="CR22" i="37"/>
  <c r="CS22" i="37" s="1"/>
  <c r="CR9" i="37"/>
  <c r="CS9" i="37" s="1"/>
  <c r="CU30" i="37"/>
  <c r="CU27" i="37"/>
  <c r="CU24" i="37"/>
  <c r="CU21" i="37"/>
  <c r="CU18" i="37"/>
  <c r="CR30" i="37"/>
  <c r="CS30" i="37" s="1"/>
  <c r="CR27" i="37"/>
  <c r="CS27" i="37" s="1"/>
  <c r="CR24" i="37"/>
  <c r="CS24" i="37" s="1"/>
  <c r="CR11" i="37"/>
  <c r="CS11" i="37" s="1"/>
  <c r="CR8" i="37"/>
  <c r="CS8" i="37" s="1"/>
  <c r="CU29" i="37"/>
  <c r="CU26" i="37"/>
  <c r="CU23" i="37"/>
  <c r="CU20" i="37"/>
  <c r="CU17" i="37"/>
  <c r="CR21" i="37"/>
  <c r="CS21" i="37" s="1"/>
  <c r="CR29" i="37"/>
  <c r="CS29" i="37" s="1"/>
  <c r="CR26" i="37"/>
  <c r="CS26" i="37" s="1"/>
  <c r="CR23" i="37"/>
  <c r="CS23" i="37" s="1"/>
  <c r="CR10" i="37"/>
  <c r="CS10" i="37" s="1"/>
  <c r="CU31" i="37"/>
  <c r="CU28" i="37"/>
  <c r="CU25" i="37"/>
  <c r="CU22" i="37"/>
  <c r="CU19" i="37"/>
  <c r="CU13" i="37"/>
  <c r="CU9" i="37"/>
  <c r="CU10" i="37"/>
  <c r="CU11" i="37"/>
  <c r="CU12" i="37"/>
  <c r="CR15" i="37"/>
  <c r="CS15" i="37" s="1"/>
  <c r="CR14" i="37"/>
  <c r="CS14" i="37" s="1"/>
  <c r="CR16" i="37"/>
  <c r="CS16" i="37" s="1"/>
  <c r="CR13" i="37"/>
  <c r="CS13" i="37" s="1"/>
  <c r="CR18" i="37"/>
  <c r="CS18" i="37" s="1"/>
  <c r="CR17" i="37"/>
  <c r="CS17" i="37" s="1"/>
  <c r="CR12" i="37"/>
  <c r="CS12" i="37" s="1"/>
  <c r="CR20" i="37"/>
  <c r="CS20" i="37" s="1"/>
  <c r="CR19" i="37"/>
  <c r="CS19" i="37" s="1"/>
  <c r="CU15" i="37"/>
  <c r="CU14" i="37"/>
  <c r="CU16" i="37"/>
  <c r="AA1" i="33"/>
  <c r="CY1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7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7" authorId="1" shapeId="0" xr:uid="{00000000-0006-0000-0C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7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<sst xmlns="http://schemas.openxmlformats.org/spreadsheetml/2006/main" count="1316" uniqueCount="547">
  <si>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</si>
  <si>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</si>
  <si>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</si>
  <si>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</si>
  <si>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</si>
  <si>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</si>
  <si>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</si>
  <si>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</si>
  <si>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</si>
  <si>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</si>
  <si>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</si>
  <si>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</si>
  <si>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</si>
  <si>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</si>
  <si>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</si>
  <si>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</si>
  <si>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</si>
  <si>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</si>
  <si>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</si>
  <si>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</si>
  <si>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</si>
  <si>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</si>
  <si>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</si>
  <si>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</si>
  <si>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</si>
  <si>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</si>
  <si>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</si>
  <si>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</si>
  <si>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</si>
  <si>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</si>
  <si>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</si>
  <si>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</si>
  <si>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</si>
  <si>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</si>
  <si>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</si>
  <si>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</si>
  <si>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</si>
  <si>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</si>
  <si>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</si>
  <si>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</si>
  <si>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</si>
  <si>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</si>
  <si>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</si>
  <si>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</si>
  <si>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</si>
  <si>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</si>
  <si>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</si>
  <si>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</si>
  <si>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</si>
  <si>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</si>
  <si>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</si>
  <si>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</si>
  <si>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</si>
  <si>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</si>
  <si>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</si>
  <si>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</si>
  <si>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</si>
  <si>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</si>
  <si>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</si>
  <si>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</si>
  <si>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</si>
  <si>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</si>
  <si>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</si>
  <si>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</si>
  <si>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</si>
  <si>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</si>
  <si>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</si>
  <si>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</si>
  <si>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</si>
  <si>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</si>
  <si>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</si>
  <si>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</si>
  <si>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</si>
  <si>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</si>
  <si>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</si>
  <si>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</si>
  <si>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</si>
  <si>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</si>
  <si>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</si>
  <si>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</si>
  <si>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</si>
  <si>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</si>
  <si>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</si>
  <si>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</si>
  <si>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</si>
  <si>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</si>
  <si>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</si>
  <si>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</si>
  <si>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</si>
  <si>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</si>
  <si>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</si>
  <si>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</si>
  <si>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</si>
  <si>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</si>
  <si>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</si>
  <si>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</si>
  <si>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</si>
  <si>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</si>
  <si>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</si>
  <si>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</si>
  <si>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</si>
  <si>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</si>
  <si>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</si>
  <si>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</si>
  <si>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</si>
  <si>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</si>
  <si>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</si>
  <si>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</si>
  <si>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</si>
  <si>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</si>
  <si>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</si>
  <si>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</si>
  <si>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</si>
  <si>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</si>
  <si>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</si>
  <si>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</si>
  <si>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</si>
  <si>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</si>
  <si>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</si>
  <si>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</si>
  <si>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</si>
  <si>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</si>
  <si>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</si>
  <si>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</si>
  <si>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</si>
  <si>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</si>
  <si>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</si>
  <si>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</si>
  <si>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</si>
  <si>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</si>
  <si>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</si>
  <si>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</si>
  <si>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</si>
  <si>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</si>
  <si>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</si>
  <si>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</si>
  <si>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</si>
  <si>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</si>
  <si>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</si>
  <si>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</si>
  <si>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</si>
  <si>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</si>
  <si>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</si>
  <si>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</si>
  <si>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</si>
  <si>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</si>
  <si>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</si>
  <si>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</si>
  <si>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</si>
  <si>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</si>
  <si>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</si>
  <si>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</si>
  <si>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</si>
  <si>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</si>
  <si>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</si>
  <si>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</si>
  <si>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</si>
  <si>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</si>
  <si>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</si>
  <si>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</si>
  <si>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</si>
  <si>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</si>
  <si>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</si>
  <si>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</si>
  <si>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</si>
  <si>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</si>
  <si>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</si>
  <si>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</si>
  <si>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</si>
  <si>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</si>
  <si>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</si>
  <si>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</si>
  <si>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</si>
  <si>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</si>
  <si>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</si>
  <si>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</si>
  <si>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</si>
  <si>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</si>
  <si>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</si>
  <si>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</si>
  <si>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</si>
  <si>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</si>
  <si>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</si>
  <si>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</si>
  <si>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</si>
  <si>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</si>
  <si>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</si>
  <si>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</si>
  <si>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</si>
  <si>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</si>
  <si>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</si>
  <si>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</si>
  <si>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</si>
  <si>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</si>
  <si>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</si>
  <si>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</si>
  <si>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</si>
  <si>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</si>
  <si>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</si>
  <si>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</si>
  <si>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</si>
  <si>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</si>
  <si>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</si>
  <si>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</si>
  <si>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</si>
  <si>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</si>
  <si>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</si>
  <si>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</si>
  <si>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</si>
  <si>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</si>
  <si>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</si>
  <si>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</si>
  <si>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</si>
  <si>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</si>
  <si>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</si>
  <si>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</si>
  <si>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</si>
  <si>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</si>
  <si>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</si>
  <si>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</si>
  <si>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</si>
  <si>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</si>
  <si>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</si>
  <si>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</si>
  <si>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</si>
  <si>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</si>
  <si>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</si>
  <si>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</si>
  <si>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</si>
  <si>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</si>
  <si>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</si>
  <si>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</si>
  <si>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</si>
  <si>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</si>
  <si>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</si>
  <si>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</si>
  <si>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</si>
  <si>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</si>
  <si>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</si>
  <si>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</si>
  <si>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</si>
  <si>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</si>
  <si>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</si>
  <si>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</si>
  <si>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</si>
  <si>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</si>
  <si>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</si>
  <si>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</si>
  <si>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</si>
  <si>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</si>
  <si>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</si>
  <si>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</si>
  <si>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</si>
  <si>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</si>
  <si>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</si>
  <si>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</si>
  <si>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</si>
  <si>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</si>
  <si>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</si>
  <si>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</si>
  <si>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</si>
  <si>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</si>
  <si>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</si>
  <si>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</si>
  <si>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</si>
  <si>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</si>
  <si>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</si>
  <si>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</si>
  <si>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</si>
  <si>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</si>
  <si>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</si>
  <si>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</si>
  <si>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</si>
  <si>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</si>
  <si>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</si>
  <si>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</si>
  <si>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</si>
  <si>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</si>
  <si>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</si>
  <si>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</si>
  <si>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</si>
  <si>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</si>
  <si>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</si>
  <si>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</si>
  <si>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</si>
  <si>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</si>
  <si>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</si>
  <si>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</si>
  <si>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</si>
  <si>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</si>
  <si>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</si>
  <si>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</si>
  <si>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</si>
  <si>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</si>
  <si>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Order Status</t>
  </si>
  <si>
    <t>lock_goods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</si>
  <si>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</si>
  <si>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</si>
  <si>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</si>
  <si>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</si>
  <si>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</si>
  <si>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</si>
  <si>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</si>
  <si>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</si>
  <si>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</si>
  <si>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</si>
  <si>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</si>
  <si>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</si>
  <si>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</si>
  <si>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</si>
  <si>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</si>
  <si>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</si>
  <si>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</si>
  <si>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</si>
  <si>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</si>
  <si>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</si>
  <si>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</si>
  <si>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</si>
  <si>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</si>
  <si>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</si>
  <si>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</si>
  <si>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</si>
  <si>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</si>
  <si>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</si>
  <si>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</si>
  <si>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</si>
  <si>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</si>
  <si>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</si>
  <si>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</si>
  <si>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</si>
  <si>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</si>
  <si>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</si>
  <si>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</si>
  <si>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</si>
  <si>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</si>
  <si>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</si>
  <si>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</si>
  <si>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</si>
  <si>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UN 1266 PERFUMERY PRODUCTS, CLASS 3, III, (23°C)</t>
  </si>
  <si>
    <t>VESSEL NAME</t>
  </si>
  <si>
    <t>risk_class</t>
  </si>
  <si>
    <t>length</t>
  </si>
  <si>
    <t>is_dangerous_good</t>
  </si>
  <si>
    <t>LIMITED QUANTITY, EMS: F-E, S-D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</si>
  <si>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</si>
  <si>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</si>
  <si>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</si>
  <si>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</si>
  <si>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</si>
  <si>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</si>
  <si>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</si>
  <si>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</si>
  <si>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</si>
  <si>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</si>
  <si>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</si>
  <si>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</si>
  <si>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</si>
  <si>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</si>
  <si>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</si>
  <si>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</si>
  <si>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</si>
  <si>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</si>
  <si>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</si>
  <si>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</si>
  <si>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</si>
  <si>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</si>
  <si>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</si>
  <si>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</si>
  <si>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</si>
  <si>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</si>
  <si>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</si>
  <si>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</si>
  <si>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</si>
  <si>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</si>
  <si>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</si>
  <si>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</si>
  <si>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</si>
  <si>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</si>
  <si>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</si>
  <si>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</si>
  <si>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</si>
  <si>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</si>
  <si>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</si>
  <si>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</si>
  <si>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</si>
  <si>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</si>
  <si>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</si>
  <si>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</si>
  <si>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</si>
  <si>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</si>
  <si>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</si>
  <si>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</si>
  <si>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</si>
  <si>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</si>
  <si>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size1</t>
  </si>
  <si>
    <t>P06000</t>
  </si>
  <si>
    <t>PERFUME - 100</t>
  </si>
  <si>
    <t>PERFUME - 100 - PESI</t>
  </si>
  <si>
    <t>P06001</t>
  </si>
  <si>
    <t>DATA INVENTARIO:</t>
  </si>
  <si>
    <t>P05008</t>
  </si>
  <si>
    <t>P05008FL</t>
  </si>
  <si>
    <t>P05008L</t>
  </si>
  <si>
    <t>P05009</t>
  </si>
  <si>
    <t>P05009L</t>
  </si>
  <si>
    <t>P05010</t>
  </si>
  <si>
    <t>P05010L</t>
  </si>
  <si>
    <t>P05011</t>
  </si>
  <si>
    <t>P05011L</t>
  </si>
  <si>
    <t>P05028</t>
  </si>
  <si>
    <t>P05028L</t>
  </si>
  <si>
    <t>P05029</t>
  </si>
  <si>
    <t>P05029L</t>
  </si>
  <si>
    <t>P05030</t>
  </si>
  <si>
    <t>P05030L</t>
  </si>
  <si>
    <t>P05031</t>
  </si>
  <si>
    <t>P05031L</t>
  </si>
  <si>
    <t>P05004</t>
  </si>
  <si>
    <t>P05005</t>
  </si>
  <si>
    <t>P05006</t>
  </si>
  <si>
    <t>P05007</t>
  </si>
  <si>
    <t>P05050</t>
  </si>
  <si>
    <t>P05051</t>
  </si>
  <si>
    <t>P05052</t>
  </si>
  <si>
    <t>P05053</t>
  </si>
  <si>
    <t>P06002</t>
  </si>
  <si>
    <t>P06002I</t>
  </si>
  <si>
    <t>P06003</t>
  </si>
  <si>
    <t>P06004</t>
  </si>
  <si>
    <t>P06004I</t>
  </si>
  <si>
    <t>P06005</t>
  </si>
  <si>
    <t>P06006</t>
  </si>
  <si>
    <t>P06006I</t>
  </si>
  <si>
    <t>P06007</t>
  </si>
  <si>
    <t>P06020</t>
  </si>
  <si>
    <t>P06021</t>
  </si>
  <si>
    <t>P06023</t>
  </si>
  <si>
    <t>P06022</t>
  </si>
  <si>
    <t>PT6000</t>
  </si>
  <si>
    <t>PT6003</t>
  </si>
  <si>
    <t>PT6004</t>
  </si>
  <si>
    <t>PT6005</t>
  </si>
  <si>
    <t>PT6006</t>
  </si>
  <si>
    <t>PT6007</t>
  </si>
  <si>
    <t>PT6020</t>
  </si>
  <si>
    <t>PT6021</t>
  </si>
  <si>
    <t>PBM001</t>
  </si>
  <si>
    <t>PBM002</t>
  </si>
  <si>
    <t>PBM008</t>
  </si>
  <si>
    <t>PBM009</t>
  </si>
  <si>
    <t>P05024</t>
  </si>
  <si>
    <t>P05025</t>
  </si>
  <si>
    <t>P05026</t>
  </si>
  <si>
    <t>P05027</t>
  </si>
  <si>
    <t>P05000</t>
  </si>
  <si>
    <t>P05001</t>
  </si>
  <si>
    <t>P05002</t>
  </si>
  <si>
    <t>P05003</t>
  </si>
  <si>
    <t>P06008</t>
  </si>
  <si>
    <t>P06009</t>
  </si>
  <si>
    <t>P06010</t>
  </si>
  <si>
    <t>P06011</t>
  </si>
  <si>
    <t>P06012</t>
  </si>
  <si>
    <t>P06013</t>
  </si>
  <si>
    <t>P06014</t>
  </si>
  <si>
    <t>P06015</t>
  </si>
  <si>
    <t>GS5008</t>
  </si>
  <si>
    <t>GS5009</t>
  </si>
  <si>
    <t>GS5010</t>
  </si>
  <si>
    <t>GS5011</t>
  </si>
  <si>
    <t>GS5028</t>
  </si>
  <si>
    <t>GS5029</t>
  </si>
  <si>
    <t>GS5030</t>
  </si>
  <si>
    <t>GS5031</t>
  </si>
  <si>
    <t>GS7020</t>
  </si>
  <si>
    <t>GS7021</t>
  </si>
  <si>
    <t>GS7022</t>
  </si>
  <si>
    <t>GS7023</t>
  </si>
  <si>
    <t>GS7024</t>
  </si>
  <si>
    <t>GS7025</t>
  </si>
  <si>
    <t>GS7026</t>
  </si>
  <si>
    <t>GS7027</t>
  </si>
  <si>
    <t>GS5004</t>
  </si>
  <si>
    <t>GS5005</t>
  </si>
  <si>
    <t>GS5006</t>
  </si>
  <si>
    <t>GS5007</t>
  </si>
  <si>
    <t>GS5050</t>
  </si>
  <si>
    <t>GS5051</t>
  </si>
  <si>
    <t>GS5052</t>
  </si>
  <si>
    <t>GS5053</t>
  </si>
  <si>
    <t>GSELE3</t>
  </si>
  <si>
    <t>GSTRO3</t>
  </si>
  <si>
    <t>GSTM12</t>
  </si>
  <si>
    <t>GSTM18</t>
  </si>
  <si>
    <t>GSTM19</t>
  </si>
  <si>
    <t>GSTM28</t>
  </si>
  <si>
    <t>GSTM29</t>
  </si>
  <si>
    <t>GSTM89</t>
  </si>
  <si>
    <t>GSTW18</t>
  </si>
  <si>
    <t>GSTW19</t>
  </si>
  <si>
    <t>GSTW89</t>
  </si>
  <si>
    <t>GSSP4M</t>
  </si>
  <si>
    <t>POLAND</t>
  </si>
  <si>
    <t>4BEAUTY 4YOU SP. Z O. O. SP. K.</t>
  </si>
  <si>
    <t>UL. WIOSNY LUDÓW 21</t>
  </si>
  <si>
    <t>44-321 MARKLOWICE</t>
  </si>
  <si>
    <t>POLSKA / POLAND</t>
  </si>
  <si>
    <t>MARKLOWICE - POLAND</t>
  </si>
  <si>
    <t>UL. KOLEJOWA 2/1</t>
  </si>
  <si>
    <t>44-230 CZERWIONKA - LESZCZYNY</t>
  </si>
  <si>
    <t>VAT. NO.: PL6423224141</t>
  </si>
  <si>
    <t>FOT VENTIMIGLIA - ITALY</t>
  </si>
  <si>
    <t>061</t>
  </si>
  <si>
    <t>CESS. CEE AR. 41 L 427</t>
  </si>
  <si>
    <t>VENTIMIGLIA - ITALY</t>
  </si>
  <si>
    <t>PRSOUD</t>
  </si>
  <si>
    <t>PRSTRO</t>
  </si>
  <si>
    <t>PRSTIT</t>
  </si>
  <si>
    <t>PRSMYS</t>
  </si>
  <si>
    <t>PRSPAS</t>
  </si>
  <si>
    <t>LOADED REFERENCE:</t>
  </si>
  <si>
    <t>DEODORANT - 175</t>
  </si>
  <si>
    <t>DEODORANT - 175 - PESI</t>
  </si>
  <si>
    <t>PERFUME - 50</t>
  </si>
  <si>
    <t>PERFUME - 50 - PESI</t>
  </si>
  <si>
    <t>DEODORANT - 150</t>
  </si>
  <si>
    <t>DEODORANT - 150 - PESI</t>
  </si>
  <si>
    <t>BODYMIST - 250</t>
  </si>
  <si>
    <t>BODYMIST - 250 - PESI</t>
  </si>
  <si>
    <t>DEODORANT - 300</t>
  </si>
  <si>
    <t>DEODORANT - 300 - PESI</t>
  </si>
  <si>
    <t>BODYMIST - 200</t>
  </si>
  <si>
    <t>BODYMIST - 200 - PESI</t>
  </si>
  <si>
    <t>Descending</t>
  </si>
  <si>
    <t>NET MOVEMENTS</t>
  </si>
  <si>
    <t>Usato per creare il file che usa Dario per comunicare lo stato dello stock</t>
  </si>
  <si>
    <t>a BHPC</t>
  </si>
  <si>
    <t>PREPARING</t>
  </si>
  <si>
    <t>SALE</t>
  </si>
  <si>
    <t>Pallet Type</t>
  </si>
  <si>
    <t>Pallet Number</t>
  </si>
  <si>
    <t>Goods Blocked</t>
  </si>
  <si>
    <t>Carrier / Exporter</t>
  </si>
  <si>
    <t>Differences and Costs Resume</t>
  </si>
  <si>
    <t>80x120x___(h)</t>
  </si>
  <si>
    <t>BEVERLY HILLS POLO CLUB PERFUMES</t>
  </si>
  <si>
    <t>VENTIMIGLIA, 28/12/2024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</si>
</sst>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&quot;€&quot;#,##0.00"/>
    <numFmt numFmtId="186" formatCode="_-[$€-130000]* #,##0.00_-;\-[$€-130000]* #,##0.00_-;_-[$€-130000]* &quot;-&quot;??_-;_-@_-"/>
    <numFmt numFmtId="187" formatCode="m/d/yyyy"/>
    <numFmt numFmtId="188" formatCode="_-[$£-809]* #,##0.00_-;\-[$£-809]* #,##0.00_-;_-[$£-809]* &quot;-&quot;??_-;_-@_-"/>
    <numFmt numFmtId="189" formatCode="_-[$€-410]* #,##0.00_-;\-[$€-410]* #,##0.00_-;_-[$€-410]* &quot;-&quot;??_-;_-@_-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10"/>
      <name val="Arial"/>
    </font>
    <font>
      <sz val="11"/>
      <color theme="1"/>
      <name val="Calibri"/>
      <scheme val="minor"/>
    </font>
    <font>
      <sz val="11"/>
      <name val="Calibri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37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6" xfId="0" applyFont="1" applyFill="1" applyBorder="1"/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5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1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 vertic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0" fontId="0" fillId="35" borderId="54" xfId="0" applyFill="1" applyBorder="1" applyAlignment="1" applyProtection="1">
      <alignment horizontal="center" vertical="center"/>
      <protection locked="0" hidden="1"/>
    </xf>
    <xf numFmtId="0" fontId="1" fillId="34" borderId="55" xfId="0" applyFont="1" applyFill="1" applyBorder="1" applyProtection="1">
      <protection locked="0" hidden="1"/>
    </xf>
    <xf numFmtId="3" fontId="24" fillId="35" borderId="56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55" xfId="0" applyNumberFormat="1" applyFont="1" applyFill="1" applyBorder="1" applyAlignment="1" applyProtection="1">
      <alignment horizontal="center"/>
      <protection locked="0" hidden="1"/>
    </xf>
    <xf numFmtId="1" fontId="1" fillId="34" borderId="5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5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48" xfId="0" applyNumberFormat="1" applyFont="1" applyFill="1" applyBorder="1" applyAlignment="1" applyProtection="1">
      <alignment horizontal="center"/>
      <protection locked="0" hidden="1"/>
    </xf>
    <xf numFmtId="1" fontId="1" fillId="35" borderId="48" xfId="0" applyNumberFormat="1" applyFont="1" applyFill="1" applyBorder="1" applyAlignment="1" applyProtection="1">
      <alignment horizontal="center"/>
      <protection locked="0" hidden="1"/>
    </xf>
    <xf numFmtId="0" fontId="24" fillId="35" borderId="54" xfId="2" applyFont="1" applyFill="1" applyBorder="1" applyAlignment="1" applyProtection="1">
      <alignment horizontal="center" vertical="center"/>
      <protection locked="0" hidden="1"/>
    </xf>
    <xf numFmtId="0" fontId="0" fillId="34" borderId="55" xfId="0" applyFill="1" applyBorder="1" applyProtection="1">
      <protection locked="0" hidden="1"/>
    </xf>
    <xf numFmtId="0" fontId="1" fillId="35" borderId="54" xfId="0" applyFont="1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Alignment="1" applyProtection="1">
      <alignment horizontal="center" vertical="center"/>
      <protection locked="0" hidden="1"/>
    </xf>
    <xf numFmtId="0" fontId="1" fillId="34" borderId="59" xfId="0" applyFont="1" applyFill="1" applyBorder="1" applyProtection="1">
      <protection locked="0" hidden="1"/>
    </xf>
    <xf numFmtId="3" fontId="1" fillId="35" borderId="60" xfId="0" applyNumberFormat="1" applyFont="1" applyFill="1" applyBorder="1" applyAlignment="1" applyProtection="1">
      <alignment horizontal="center"/>
      <protection locked="0" hidden="1"/>
    </xf>
    <xf numFmtId="1" fontId="1" fillId="34" borderId="60" xfId="0" applyNumberFormat="1" applyFont="1" applyFill="1" applyBorder="1" applyAlignment="1" applyProtection="1">
      <alignment horizontal="right"/>
      <protection locked="0" hidden="1"/>
    </xf>
    <xf numFmtId="1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4" xfId="0" applyNumberFormat="1" applyFont="1" applyFill="1" applyBorder="1" applyAlignment="1" applyProtection="1">
      <alignment horizontal="right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3" fontId="1" fillId="35" borderId="65" xfId="0" applyNumberFormat="1" applyFont="1" applyFill="1" applyBorder="1" applyAlignment="1" applyProtection="1">
      <alignment horizontal="center"/>
      <protection locked="0" hidden="1"/>
    </xf>
    <xf numFmtId="1" fontId="1" fillId="34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69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0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 vertical="center"/>
    </xf>
    <xf numFmtId="0" fontId="0" fillId="37" borderId="72" xfId="0" applyFill="1" applyBorder="1" applyAlignment="1">
      <alignment horizontal="center"/>
    </xf>
    <xf numFmtId="1" fontId="0" fillId="37" borderId="71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71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68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1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5" fontId="0" fillId="0" borderId="0" xfId="0" applyNumberFormat="1"/>
    <xf numFmtId="0" fontId="24" fillId="35" borderId="66" xfId="2" applyFont="1" applyFill="1" applyBorder="1" applyAlignment="1" applyProtection="1">
      <alignment horizontal="center" vertical="center"/>
      <protection locked="0" hidden="1"/>
    </xf>
    <xf numFmtId="1" fontId="1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1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6" fontId="24" fillId="34" borderId="48" xfId="351" applyNumberFormat="1" applyFont="1" applyFill="1" applyBorder="1" applyAlignment="1" applyProtection="1">
      <alignment horizontal="right" vertical="center"/>
      <protection locked="0" hidden="1"/>
    </xf>
    <xf numFmtId="186" fontId="1" fillId="34" borderId="48" xfId="351" applyNumberFormat="1" applyFont="1" applyFill="1" applyBorder="1" applyAlignment="1" applyProtection="1">
      <alignment horizontal="right"/>
      <protection locked="0" hidden="1"/>
    </xf>
    <xf numFmtId="186" fontId="1" fillId="34" borderId="56" xfId="351" applyNumberFormat="1" applyFont="1" applyFill="1" applyBorder="1" applyAlignment="1" applyProtection="1">
      <alignment horizontal="right"/>
      <protection locked="0" hidden="1"/>
    </xf>
    <xf numFmtId="186" fontId="1" fillId="34" borderId="60" xfId="351" applyNumberFormat="1" applyFont="1" applyFill="1" applyBorder="1" applyAlignment="1" applyProtection="1">
      <alignment horizontal="right"/>
      <protection locked="0" hidden="1"/>
    </xf>
    <xf numFmtId="186" fontId="1" fillId="34" borderId="64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4" fontId="0" fillId="0" borderId="0" xfId="0" applyNumberFormat="1" applyAlignment="1">
      <alignment horizontal="center" vertical="center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6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3" xfId="0" applyNumberFormat="1" applyFont="1" applyFill="1" applyBorder="1" applyAlignment="1" applyProtection="1">
      <alignment horizontal="center"/>
      <protection locked="0" hidden="1"/>
    </xf>
    <xf numFmtId="188" fontId="1" fillId="0" borderId="26" xfId="351" applyNumberFormat="1" applyFont="1" applyBorder="1" applyAlignment="1">
      <alignment horizontal="center"/>
    </xf>
    <xf numFmtId="188" fontId="2" fillId="0" borderId="0" xfId="0" applyNumberFormat="1" applyFont="1" applyAlignment="1">
      <alignment horizontal="left"/>
    </xf>
    <xf numFmtId="0" fontId="0" fillId="35" borderId="66" xfId="0" applyFill="1" applyBorder="1" applyAlignment="1" applyProtection="1">
      <alignment horizontal="center" vertical="center"/>
      <protection locked="0" hidden="1"/>
    </xf>
    <xf numFmtId="189" fontId="24" fillId="35" borderId="57" xfId="351" applyNumberFormat="1" applyFont="1" applyFill="1" applyBorder="1" applyAlignment="1" applyProtection="1">
      <alignment horizontal="center" vertical="center"/>
      <protection locked="0" hidden="1"/>
    </xf>
    <xf numFmtId="189" fontId="1" fillId="35" borderId="57" xfId="351" applyNumberFormat="1" applyFont="1" applyFill="1" applyBorder="1" applyAlignment="1" applyProtection="1">
      <alignment horizontal="center"/>
      <protection locked="0" hidden="1"/>
    </xf>
    <xf numFmtId="189" fontId="1" fillId="35" borderId="68" xfId="351" applyNumberFormat="1" applyFont="1" applyFill="1" applyBorder="1" applyAlignment="1" applyProtection="1">
      <alignment horizontal="center"/>
      <protection locked="0" hidden="1"/>
    </xf>
    <xf numFmtId="189" fontId="24" fillId="35" borderId="68" xfId="351" applyNumberFormat="1" applyFont="1" applyFill="1" applyBorder="1" applyAlignment="1" applyProtection="1">
      <alignment horizontal="center" vertical="center"/>
      <protection locked="0" hidden="1"/>
    </xf>
    <xf numFmtId="189" fontId="1" fillId="35" borderId="61" xfId="351" applyNumberFormat="1" applyFont="1" applyFill="1" applyBorder="1" applyAlignment="1" applyProtection="1">
      <alignment horizontal="center"/>
      <protection locked="0" hidden="1"/>
    </xf>
    <xf numFmtId="189" fontId="1" fillId="35" borderId="46" xfId="0" applyNumberFormat="1" applyFont="1" applyFill="1" applyBorder="1" applyAlignment="1" applyProtection="1">
      <alignment horizontal="center"/>
      <protection locked="0" hidden="1"/>
    </xf>
    <xf numFmtId="189" fontId="1" fillId="35" borderId="46" xfId="0" applyNumberFormat="1" applyFont="1" applyFill="1" applyBorder="1" applyProtection="1">
      <protection locked="0" hidden="1"/>
    </xf>
    <xf numFmtId="189" fontId="1" fillId="35" borderId="22" xfId="0" applyNumberFormat="1" applyFont="1" applyFill="1" applyBorder="1" applyAlignment="1" applyProtection="1">
      <alignment horizontal="center"/>
      <protection locked="0" hidden="1"/>
    </xf>
    <xf numFmtId="189" fontId="1" fillId="35" borderId="57" xfId="0" applyNumberFormat="1" applyFont="1" applyFill="1" applyBorder="1" applyProtection="1">
      <protection locked="0" hidden="1"/>
    </xf>
    <xf numFmtId="189" fontId="1" fillId="35" borderId="61" xfId="0" applyNumberFormat="1" applyFont="1" applyFill="1" applyBorder="1" applyProtection="1">
      <protection locked="0" hidden="1"/>
    </xf>
    <xf numFmtId="189" fontId="1" fillId="34" borderId="57" xfId="0" applyNumberFormat="1" applyFont="1" applyFill="1" applyBorder="1" applyAlignment="1" applyProtection="1">
      <alignment horizontal="right" vertical="center"/>
      <protection locked="0" hidden="1"/>
    </xf>
    <xf numFmtId="189" fontId="1" fillId="34" borderId="61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49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89" fontId="36" fillId="0" borderId="29" xfId="0" applyNumberFormat="1" applyFont="1" applyBorder="1"/>
    <xf numFmtId="186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0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6" fontId="2" fillId="34" borderId="40" xfId="351" applyNumberFormat="1" applyFont="1" applyFill="1" applyBorder="1" applyAlignment="1" applyProtection="1">
      <alignment horizontal="center"/>
      <protection locked="0" hidden="1"/>
    </xf>
    <xf numFmtId="189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67" xfId="0" applyNumberFormat="1" applyFont="1" applyFill="1" applyBorder="1" applyAlignment="1" applyProtection="1">
      <alignment horizontal="center"/>
      <protection locked="0" hidden="1"/>
    </xf>
    <xf numFmtId="1" fontId="1" fillId="34" borderId="68" xfId="0" applyNumberFormat="1" applyFont="1" applyFill="1" applyBorder="1" applyAlignment="1" applyProtection="1">
      <alignment horizontal="center" vertical="center"/>
      <protection locked="0" hidden="1"/>
    </xf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0" fillId="36" borderId="69" xfId="0" applyFill="1" applyBorder="1" applyAlignment="1">
      <alignment horizontal="left"/>
    </xf>
    <xf numFmtId="0" fontId="0" fillId="37" borderId="72" xfId="0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15" fillId="0" borderId="0" xfId="2" applyAlignment="1">
      <alignment horizontal="left"/>
    </xf>
    <xf numFmtId="0" fontId="63" fillId="0" borderId="0" xfId="2" applyFont="1" applyAlignment="1">
      <alignment horizontal="center" vertical="center"/>
    </xf>
    <xf numFmtId="1" fontId="63" fillId="0" borderId="0" xfId="2" applyNumberFormat="1" applyFont="1" applyAlignment="1">
      <alignment horizontal="center" vertical="center"/>
    </xf>
    <xf numFmtId="0" fontId="63" fillId="0" borderId="0" xfId="2" applyFont="1" applyAlignment="1">
      <alignment horizontal="left"/>
    </xf>
    <xf numFmtId="0" fontId="63" fillId="0" borderId="0" xfId="2" applyFont="1" applyAlignment="1">
      <alignment horizontal="center"/>
    </xf>
    <xf numFmtId="0" fontId="63" fillId="0" borderId="0" xfId="0" applyFont="1" applyAlignment="1">
      <alignment horizontal="center"/>
    </xf>
    <xf numFmtId="2" fontId="63" fillId="0" borderId="0" xfId="2" applyNumberFormat="1" applyFont="1" applyAlignment="1">
      <alignment horizontal="center" vertical="center"/>
    </xf>
    <xf numFmtId="166" fontId="64" fillId="0" borderId="0" xfId="351" applyFont="1" applyAlignment="1">
      <alignment horizontal="center"/>
    </xf>
    <xf numFmtId="0" fontId="65" fillId="0" borderId="0" xfId="0" applyFont="1" applyAlignment="1">
      <alignment horizontal="left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left" vertical="center"/>
    </xf>
    <xf numFmtId="0" fontId="62" fillId="0" borderId="0" xfId="0" applyFont="1" applyAlignment="1">
      <alignment horizontal="left"/>
    </xf>
    <xf numFmtId="0" fontId="64" fillId="0" borderId="0" xfId="0" applyFont="1" applyAlignment="1">
      <alignment horizontal="center"/>
    </xf>
    <xf numFmtId="0" fontId="0" fillId="36" borderId="34" xfId="0" applyFill="1" applyBorder="1" applyAlignment="1">
      <alignment horizontal="center" vertical="center"/>
    </xf>
    <xf numFmtId="0" fontId="0" fillId="36" borderId="14" xfId="0" applyFill="1" applyBorder="1" applyAlignment="1">
      <alignment horizontal="left"/>
    </xf>
    <xf numFmtId="0" fontId="0" fillId="36" borderId="14" xfId="0" applyFill="1" applyBorder="1" applyAlignment="1">
      <alignment horizontal="center"/>
    </xf>
    <xf numFmtId="1" fontId="0" fillId="36" borderId="34" xfId="0" applyNumberFormat="1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187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 shrinkToFit="1"/>
    </xf>
    <xf numFmtId="170" fontId="47" fillId="0" borderId="0" xfId="0" applyNumberFormat="1" applyFont="1" applyAlignment="1">
      <alignment horizontal="center" vertical="center"/>
    </xf>
    <xf numFmtId="170" fontId="47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vertical="center"/>
    </xf>
    <xf numFmtId="170" fontId="5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14" fontId="47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189" fontId="24" fillId="0" borderId="25" xfId="351" applyNumberFormat="1" applyFont="1" applyBorder="1" applyAlignment="1">
      <alignment horizontal="center" vertical="center" wrapText="1"/>
    </xf>
    <xf numFmtId="189" fontId="1" fillId="0" borderId="26" xfId="351" applyNumberFormat="1" applyFont="1" applyBorder="1" applyAlignment="1">
      <alignment horizontal="center"/>
    </xf>
    <xf numFmtId="189" fontId="24" fillId="35" borderId="68" xfId="351" applyNumberFormat="1" applyFont="1" applyFill="1" applyBorder="1" applyAlignment="1" applyProtection="1">
      <alignment horizontal="center"/>
      <protection locked="0" hidden="1"/>
    </xf>
    <xf numFmtId="0" fontId="2" fillId="34" borderId="78" xfId="0" applyFont="1" applyFill="1" applyBorder="1" applyAlignment="1">
      <alignment horizontal="center"/>
    </xf>
    <xf numFmtId="0" fontId="2" fillId="34" borderId="32" xfId="0" applyFont="1" applyFill="1" applyBorder="1" applyAlignment="1">
      <alignment horizontal="center"/>
    </xf>
    <xf numFmtId="14" fontId="2" fillId="34" borderId="32" xfId="0" applyNumberFormat="1" applyFont="1" applyFill="1" applyBorder="1" applyAlignment="1">
      <alignment horizontal="center"/>
    </xf>
    <xf numFmtId="0" fontId="2" fillId="34" borderId="33" xfId="0" applyFont="1" applyFill="1" applyBorder="1" applyAlignment="1">
      <alignment horizontal="center"/>
    </xf>
    <xf numFmtId="14" fontId="24" fillId="0" borderId="15" xfId="0" applyNumberFormat="1" applyFont="1" applyBorder="1" applyAlignment="1" applyProtection="1">
      <alignment horizontal="center"/>
      <protection locked="0" hidden="1"/>
    </xf>
    <xf numFmtId="189" fontId="24" fillId="35" borderId="57" xfId="351" applyNumberFormat="1" applyFont="1" applyFill="1" applyBorder="1" applyAlignment="1" applyProtection="1">
      <alignment horizontal="center"/>
      <protection locked="0" hidden="1"/>
    </xf>
    <xf numFmtId="0" fontId="0" fillId="18" borderId="6" xfId="0" applyFill="1" applyBorder="1" applyAlignment="1">
      <alignment horizontal="left"/>
    </xf>
    <xf numFmtId="0" fontId="0" fillId="18" borderId="7" xfId="0" applyFill="1" applyBorder="1" applyAlignment="1">
      <alignment horizontal="left"/>
    </xf>
    <xf numFmtId="0" fontId="0" fillId="18" borderId="7" xfId="0" applyFill="1" applyBorder="1" applyAlignment="1">
      <alignment horizontal="center"/>
    </xf>
    <xf numFmtId="0" fontId="0" fillId="18" borderId="8" xfId="0" applyFill="1" applyBorder="1" applyAlignment="1">
      <alignment horizontal="center"/>
    </xf>
    <xf numFmtId="0" fontId="0" fillId="18" borderId="9" xfId="0" applyFill="1" applyBorder="1" applyAlignment="1">
      <alignment horizontal="left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left"/>
    </xf>
    <xf numFmtId="0" fontId="0" fillId="18" borderId="12" xfId="0" applyFill="1" applyBorder="1" applyAlignment="1">
      <alignment horizontal="left"/>
    </xf>
    <xf numFmtId="0" fontId="0" fillId="18" borderId="12" xfId="0" applyFill="1" applyBorder="1" applyAlignment="1">
      <alignment horizontal="center"/>
    </xf>
    <xf numFmtId="0" fontId="0" fillId="18" borderId="13" xfId="0" applyFill="1" applyBorder="1" applyAlignment="1">
      <alignment horizontal="center"/>
    </xf>
    <xf numFmtId="0" fontId="2" fillId="34" borderId="0" xfId="0" applyFont="1" applyFill="1" applyAlignment="1">
      <alignment horizontal="left"/>
    </xf>
    <xf numFmtId="0" fontId="2" fillId="34" borderId="32" xfId="0" applyFont="1" applyFill="1" applyBorder="1" applyAlignment="1">
      <alignment horizontal="left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0" applyNumberFormat="1"/>
    <xf numFmtId="3" fontId="24" fillId="35" borderId="67" xfId="2" applyNumberFormat="1" applyFont="1" applyFill="1" applyBorder="1" applyAlignment="1" applyProtection="1">
      <alignment horizontal="center" vertical="center"/>
      <protection locked="0" hidden="1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0" fontId="22" fillId="0" borderId="18" xfId="2" applyFont="1" applyBorder="1" applyAlignment="1">
      <alignment vertical="top"/>
    </xf>
    <xf numFmtId="0" fontId="22" fillId="0" borderId="20" xfId="2" applyFont="1" applyBorder="1" applyAlignment="1">
      <alignment vertical="top"/>
    </xf>
    <xf numFmtId="0" fontId="22" fillId="0" borderId="18" xfId="2" applyFont="1" applyBorder="1" applyAlignment="1">
      <alignment horizontal="left" vertical="top"/>
    </xf>
    <xf numFmtId="0" fontId="53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189" fontId="17" fillId="0" borderId="23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179" fontId="22" fillId="0" borderId="18" xfId="2" applyNumberFormat="1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89" fontId="17" fillId="0" borderId="22" xfId="351" applyNumberFormat="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89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2" fillId="0" borderId="47" xfId="2" applyFont="1" applyBorder="1" applyAlignment="1">
      <alignment horizontal="center" vertical="center" wrapText="1"/>
    </xf>
    <xf numFmtId="0" fontId="53" fillId="0" borderId="48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6" xfId="41" quotePrefix="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9" fillId="0" borderId="12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4" fillId="0" borderId="0" xfId="41" applyFont="1"/>
    <xf numFmtId="0" fontId="5" fillId="0" borderId="0" xfId="41" applyFont="1"/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0" fontId="9" fillId="0" borderId="11" xfId="41" applyFont="1" applyBorder="1" applyAlignment="1" applyProtection="1">
      <alignment vertical="center"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9" fillId="0" borderId="11" xfId="41" applyFont="1" applyBorder="1" applyAlignment="1">
      <alignment horizontal="center" vertical="center" shrinkToFit="1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2" fillId="18" borderId="1" xfId="0" applyFont="1" applyFill="1" applyBorder="1" applyAlignment="1" applyProtection="1">
      <alignment horizontal="center" vertical="center" wrapText="1"/>
      <protection hidden="1"/>
    </xf>
    <xf numFmtId="0" fontId="2" fillId="18" borderId="2" xfId="0" applyFont="1" applyFill="1" applyBorder="1" applyAlignment="1" applyProtection="1">
      <alignment horizontal="center" vertical="center" wrapText="1"/>
      <protection hidden="1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4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2" formatCode="0.00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numFmt numFmtId="187" formatCode="m/d/yyyy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m/d/yyyy"/>
      <alignment horizontal="center" vertical="center" textRotation="0" wrapText="0" indent="0" justifyLastLine="0" shrinkToFit="0" readingOrder="0"/>
    </dxf>
    <dxf>
      <numFmt numFmtId="187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1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12700</xdr:rowOff>
        </xdr:from>
        <xdr:to>
          <xdr:col>4</xdr:col>
          <xdr:colOff>279400</xdr:colOff>
          <xdr:row>12</xdr:row>
          <xdr:rowOff>260350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260350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25</xdr:row>
          <xdr:rowOff>31750</xdr:rowOff>
        </xdr:from>
        <xdr:to>
          <xdr:col>5</xdr:col>
          <xdr:colOff>527050</xdr:colOff>
          <xdr:row>25</xdr:row>
          <xdr:rowOff>222250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869950</xdr:colOff>
          <xdr:row>25</xdr:row>
          <xdr:rowOff>12700</xdr:rowOff>
        </xdr:from>
        <xdr:to>
          <xdr:col>7</xdr:col>
          <xdr:colOff>0</xdr:colOff>
          <xdr:row>25</xdr:row>
          <xdr:rowOff>241300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12700</xdr:rowOff>
        </xdr:from>
        <xdr:to>
          <xdr:col>8</xdr:col>
          <xdr:colOff>12700</xdr:colOff>
          <xdr:row>26</xdr:row>
          <xdr:rowOff>12700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31750</xdr:colOff>
          <xdr:row>26</xdr:row>
          <xdr:rowOff>12700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00000000-0008-0000-0C00-0000AD540000}"/>
            </a:ext>
          </a:extLst>
        </xdr:cNvPr>
        <xdr:cNvGrpSpPr/>
      </xdr:nvGrpSpPr>
      <xdr:grpSpPr>
        <a:xfrm>
          <a:off x="107734100" y="3028950"/>
          <a:ext cx="1784350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00000000-0008-0000-0C00-00009D540000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00000000-0008-0000-0C00-00009E540000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00000000-0008-0000-0C00-0000A3540000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00000000-0008-0000-0C00-0000A7540000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LAST INVENTORY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00000000-0008-0000-0C00-0000A9540000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00000000-0008-0000-0C00-0000AA540000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CLEAR FILTERS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00000000-0008-0000-0C00-0000A4540000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72" name="control_panel_basket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61239400" y="3028950"/>
          <a:ext cx="1800000" cy="4219575"/>
          <a:chOff x="95250" y="2717800"/>
          <a:chExt cx="1800000" cy="4219575"/>
        </a:xfrm>
      </xdr:grpSpPr>
      <xdr:sp macro="" textlink="">
        <xdr:nvSpPr>
          <xdr:cNvPr id="76" name="Rettangolo con angoli arrotondati 21646">
            <a:extLst>
              <a:ext uri="{FF2B5EF4-FFF2-40B4-BE49-F238E27FC236}">
                <a16:creationId xmlns:a16="http://schemas.microsoft.com/office/drawing/2014/main" id="{00000000-0008-0000-0C00-00008F540000}"/>
              </a:ext>
            </a:extLst>
          </xdr:cNvPr>
          <xdr:cNvSpPr/>
        </xdr:nvSpPr>
        <xdr:spPr>
          <a:xfrm>
            <a:off x="95250" y="2717800"/>
            <a:ext cx="180000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grpSp>
        <xdr:nvGrpSpPr>
          <xdr:cNvPr id="84" name="Gruppo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pSpPr/>
        </xdr:nvGrpSpPr>
        <xdr:grpSpPr>
          <a:xfrm>
            <a:off x="184338" y="4588557"/>
            <a:ext cx="1621828" cy="709612"/>
            <a:chOff x="184338" y="4588557"/>
            <a:chExt cx="1621828" cy="709612"/>
          </a:xfrm>
        </xdr:grpSpPr>
        <xdr:sp macro="" textlink="">
          <xdr:nvSpPr>
            <xdr:cNvPr id="85" name="Rettangolo con angoli arrotondati 21649">
              <a:extLst>
                <a:ext uri="{FF2B5EF4-FFF2-40B4-BE49-F238E27FC236}">
                  <a16:creationId xmlns:a16="http://schemas.microsoft.com/office/drawing/2014/main" id="{00000000-0008-0000-0C00-000092540000}"/>
                </a:ext>
              </a:extLst>
            </xdr:cNvPr>
            <xdr:cNvSpPr/>
          </xdr:nvSpPr>
          <xdr:spPr>
            <a:xfrm>
              <a:off x="184338" y="4588557"/>
              <a:ext cx="1621828" cy="709612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DOCUMENT</a:t>
              </a:r>
            </a:p>
          </xdr:txBody>
        </xdr:sp>
        <xdr:sp macro="[0]!printUsrFormLauncher" textlink="">
          <xdr:nvSpPr>
            <xdr:cNvPr id="88" name="printDocument">
              <a:extLst>
                <a:ext uri="{FF2B5EF4-FFF2-40B4-BE49-F238E27FC236}">
                  <a16:creationId xmlns:a16="http://schemas.microsoft.com/office/drawing/2014/main" id="{00000000-0008-0000-0C00-00008E540000}"/>
                </a:ext>
              </a:extLst>
            </xdr:cNvPr>
            <xdr:cNvSpPr/>
          </xdr:nvSpPr>
          <xdr:spPr>
            <a:xfrm>
              <a:off x="268755" y="4895416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PRINT DOCUMENTS</a:t>
              </a:r>
            </a:p>
          </xdr:txBody>
        </xdr:sp>
      </xdr:grpSp>
      <xdr:grpSp>
        <xdr:nvGrpSpPr>
          <xdr:cNvPr id="89" name="Gruppo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GrpSpPr/>
        </xdr:nvGrpSpPr>
        <xdr:grpSpPr>
          <a:xfrm>
            <a:off x="184338" y="5362096"/>
            <a:ext cx="1621828" cy="1495938"/>
            <a:chOff x="184338" y="5362096"/>
            <a:chExt cx="1621828" cy="1495938"/>
          </a:xfrm>
        </xdr:grpSpPr>
        <xdr:sp macro="" textlink="">
          <xdr:nvSpPr>
            <xdr:cNvPr id="93" name="Rettangolo con angoli arrotondati 21653">
              <a:extLst>
                <a:ext uri="{FF2B5EF4-FFF2-40B4-BE49-F238E27FC236}">
                  <a16:creationId xmlns:a16="http://schemas.microsoft.com/office/drawing/2014/main" id="{00000000-0008-0000-0C00-000096540000}"/>
                </a:ext>
              </a:extLst>
            </xdr:cNvPr>
            <xdr:cNvSpPr/>
          </xdr:nvSpPr>
          <xdr:spPr>
            <a:xfrm>
              <a:off x="184338" y="5362096"/>
              <a:ext cx="1621828" cy="1495938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PRODUCTION</a:t>
              </a:r>
            </a:p>
          </xdr:txBody>
        </xdr:sp>
        <xdr:sp macro="[0]!callProductionTrue" textlink="">
          <xdr:nvSpPr>
            <xdr:cNvPr id="94" name="prodPreview">
              <a:extLst>
                <a:ext uri="{FF2B5EF4-FFF2-40B4-BE49-F238E27FC236}">
                  <a16:creationId xmlns:a16="http://schemas.microsoft.com/office/drawing/2014/main" id="{00000000-0008-0000-0C00-000097540000}"/>
                </a:ext>
              </a:extLst>
            </xdr:cNvPr>
            <xdr:cNvSpPr/>
          </xdr:nvSpPr>
          <xdr:spPr>
            <a:xfrm>
              <a:off x="262462" y="5688134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PROD.</a:t>
              </a:r>
              <a:r>
                <a:rPr lang="it-IT" sz="1100" b="1" baseline="0">
                  <a:solidFill>
                    <a:schemeClr val="bg1"/>
                  </a:solidFill>
                </a:rPr>
                <a:t> </a:t>
              </a:r>
              <a:r>
                <a:rPr lang="it-IT" sz="1100" b="1">
                  <a:solidFill>
                    <a:schemeClr val="bg1"/>
                  </a:solidFill>
                </a:rPr>
                <a:t>PREVIEW</a:t>
              </a:r>
            </a:p>
          </xdr:txBody>
        </xdr:sp>
        <xdr:sp macro="[0]!callProductionFalse" textlink="">
          <xdr:nvSpPr>
            <xdr:cNvPr id="96" name="production">
              <a:extLst>
                <a:ext uri="{FF2B5EF4-FFF2-40B4-BE49-F238E27FC236}">
                  <a16:creationId xmlns:a16="http://schemas.microsoft.com/office/drawing/2014/main" id="{00000000-0008-0000-0C00-000099540000}"/>
                </a:ext>
              </a:extLst>
            </xdr:cNvPr>
            <xdr:cNvSpPr/>
          </xdr:nvSpPr>
          <xdr:spPr>
            <a:xfrm>
              <a:off x="262462" y="6068512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PRODUCTION</a:t>
              </a:r>
            </a:p>
          </xdr:txBody>
        </xdr:sp>
        <xdr:sp macro="[0]!calculateWarehouseValuesFromBasket" textlink="">
          <xdr:nvSpPr>
            <xdr:cNvPr id="97" name="updateStock">
              <a:extLst>
                <a:ext uri="{FF2B5EF4-FFF2-40B4-BE49-F238E27FC236}">
                  <a16:creationId xmlns:a16="http://schemas.microsoft.com/office/drawing/2014/main" id="{00000000-0008-0000-0C00-00009A540000}"/>
                </a:ext>
              </a:extLst>
            </xdr:cNvPr>
            <xdr:cNvSpPr/>
          </xdr:nvSpPr>
          <xdr:spPr>
            <a:xfrm>
              <a:off x="262462" y="6448890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STOCK</a:t>
              </a:r>
            </a:p>
          </xdr:txBody>
        </xdr:sp>
      </xdr:grpSp>
      <xdr:grpSp>
        <xdr:nvGrpSpPr>
          <xdr:cNvPr id="100" name="Gruppo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pSpPr/>
        </xdr:nvGrpSpPr>
        <xdr:grpSpPr>
          <a:xfrm>
            <a:off x="184338" y="3050231"/>
            <a:ext cx="1621828" cy="1463973"/>
            <a:chOff x="184338" y="3050231"/>
            <a:chExt cx="1621828" cy="1463973"/>
          </a:xfrm>
        </xdr:grpSpPr>
        <xdr:sp macro="" textlink="">
          <xdr:nvSpPr>
            <xdr:cNvPr id="105" name="Rettangolo con angoli arrotondati 21647">
              <a:extLst>
                <a:ext uri="{FF2B5EF4-FFF2-40B4-BE49-F238E27FC236}">
                  <a16:creationId xmlns:a16="http://schemas.microsoft.com/office/drawing/2014/main" id="{00000000-0008-0000-0C00-000090540000}"/>
                </a:ext>
              </a:extLst>
            </xdr:cNvPr>
            <xdr:cNvSpPr/>
          </xdr:nvSpPr>
          <xdr:spPr>
            <a:xfrm>
              <a:off x="184338" y="3050231"/>
              <a:ext cx="1621828" cy="1463973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BASKET</a:t>
              </a:r>
            </a:p>
          </xdr:txBody>
        </xdr:sp>
        <xdr:sp macro="[0]!emptyOrderContent" textlink="">
          <xdr:nvSpPr>
            <xdr:cNvPr id="107" name="emptyBasket">
              <a:extLst>
                <a:ext uri="{FF2B5EF4-FFF2-40B4-BE49-F238E27FC236}">
                  <a16:creationId xmlns:a16="http://schemas.microsoft.com/office/drawing/2014/main" id="{00000000-0008-0000-0C00-000093540000}"/>
                </a:ext>
              </a:extLst>
            </xdr:cNvPr>
            <xdr:cNvSpPr/>
          </xdr:nvSpPr>
          <xdr:spPr>
            <a:xfrm>
              <a:off x="268755" y="374066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EMPTY BASKET</a:t>
              </a:r>
            </a:p>
          </xdr:txBody>
        </xdr:sp>
        <xdr:grpSp>
          <xdr:nvGrpSpPr>
            <xdr:cNvPr id="108" name="Gruppo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GrpSpPr/>
          </xdr:nvGrpSpPr>
          <xdr:grpSpPr>
            <a:xfrm>
              <a:off x="268755" y="4117844"/>
              <a:ext cx="1452991" cy="317125"/>
              <a:chOff x="268755" y="4117844"/>
              <a:chExt cx="1452991" cy="317125"/>
            </a:xfrm>
          </xdr:grpSpPr>
          <xdr:sp macro="[0]!fakeDeleteProductFromCart" textlink="">
            <xdr:nvSpPr>
              <xdr:cNvPr id="115" name="deleteItem">
                <a:extLst>
                  <a:ext uri="{FF2B5EF4-FFF2-40B4-BE49-F238E27FC236}">
                    <a16:creationId xmlns:a16="http://schemas.microsoft.com/office/drawing/2014/main" id="{00000000-0008-0000-0C00-00009454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  <xdr:sp macro="[0]!deleteProductFromCart" textlink="">
            <xdr:nvSpPr>
              <xdr:cNvPr id="117" name="deleteItemRed" hidden="1">
                <a:extLst>
                  <a:ext uri="{FF2B5EF4-FFF2-40B4-BE49-F238E27FC236}">
                    <a16:creationId xmlns:a16="http://schemas.microsoft.com/office/drawing/2014/main" id="{00000000-0008-0000-0C00-00002400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rgbClr val="C00000"/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</xdr:grpSp>
        <xdr:sp macro="[0]!updateOrderContent" textlink="">
          <xdr:nvSpPr>
            <xdr:cNvPr id="121" name="updateBasket">
              <a:extLst>
                <a:ext uri="{FF2B5EF4-FFF2-40B4-BE49-F238E27FC236}">
                  <a16:creationId xmlns:a16="http://schemas.microsoft.com/office/drawing/2014/main" id="{00000000-0008-0000-0C00-0000AE540000}"/>
                </a:ext>
              </a:extLst>
            </xdr:cNvPr>
            <xdr:cNvSpPr/>
          </xdr:nvSpPr>
          <xdr:spPr>
            <a:xfrm>
              <a:off x="268755" y="336348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rgbClr val="00B050"/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BASKET</a:t>
              </a:r>
            </a:p>
          </xdr:txBody>
        </xdr:sp>
      </xdr:grp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 hidden="1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pSpPr/>
      </xdr:nvGrpSpPr>
      <xdr:grpSpPr>
        <a:xfrm>
          <a:off x="95250" y="3028950"/>
          <a:ext cx="179365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 hidden="1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 hidden="1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 hidden="1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 hidden="1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 hidden="1">
            <a:extLst>
              <a:ext uri="{FF2B5EF4-FFF2-40B4-BE49-F238E27FC236}">
                <a16:creationId xmlns:a16="http://schemas.microsoft.com/office/drawing/2014/main" id="{00000000-0008-0000-0C00-000044000000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 hidden="1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 hidden="1">
            <a:extLst>
              <a:ext uri="{FF2B5EF4-FFF2-40B4-BE49-F238E27FC236}">
                <a16:creationId xmlns:a16="http://schemas.microsoft.com/office/drawing/2014/main" id="{00000000-0008-0000-0C00-000057000000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 hidden="1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 hidden="1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 hidden="1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752475</xdr:colOff>
      <xdr:row>5</xdr:row>
      <xdr:rowOff>142876</xdr:rowOff>
    </xdr:to>
    <xdr:grpSp>
      <xdr:nvGrpSpPr>
        <xdr:cNvPr id="118" name="filtri_rapidi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11141075" y="19050"/>
          <a:ext cx="5130800" cy="1152526"/>
          <a:chOff x="10658475" y="19050"/>
          <a:chExt cx="4914900" cy="1114426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C00-000066000000}"/>
              </a:ext>
            </a:extLst>
          </xdr:cNvPr>
          <xdr:cNvSpPr/>
        </xdr:nvSpPr>
        <xdr:spPr>
          <a:xfrm>
            <a:off x="10658475" y="19050"/>
            <a:ext cx="4914900" cy="11144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sp macro="[0]!noFilter" textlink="">
        <xdr:nvSpPr>
          <xdr:cNvPr id="66" name="clearFiltersBtn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10716998" y="73420"/>
            <a:ext cx="1444491" cy="486000"/>
          </a:xfrm>
          <a:prstGeom prst="roundRect">
            <a:avLst/>
          </a:prstGeom>
          <a:solidFill>
            <a:srgbClr val="C00000"/>
          </a:solidFill>
          <a:ln w="28575">
            <a:solidFill>
              <a:srgbClr val="FF616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400" b="1">
                <a:solidFill>
                  <a:schemeClr val="bg1"/>
                </a:solidFill>
              </a:rPr>
              <a:t>CLEAR  FILTERS</a:t>
            </a:r>
          </a:p>
        </xdr:txBody>
      </xdr:sp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C00-000051000000}"/>
              </a:ext>
            </a:extLst>
          </xdr:cNvPr>
          <xdr:cNvSpPr/>
        </xdr:nvSpPr>
        <xdr:spPr>
          <a:xfrm>
            <a:off x="12230056" y="73420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FATTURATE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C00-000056000000}"/>
              </a:ext>
            </a:extLst>
          </xdr:cNvPr>
          <xdr:cNvSpPr/>
        </xdr:nvSpPr>
        <xdr:spPr>
          <a:xfrm>
            <a:off x="12230056" y="33906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PREPARAZIONE</a:t>
            </a: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C00-00005B000000}"/>
              </a:ext>
            </a:extLst>
          </xdr:cNvPr>
          <xdr:cNvSpPr/>
        </xdr:nvSpPr>
        <xdr:spPr>
          <a:xfrm>
            <a:off x="12230056" y="604714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STAND BY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C00-000065000000}"/>
              </a:ext>
            </a:extLst>
          </xdr:cNvPr>
          <xdr:cNvSpPr/>
        </xdr:nvSpPr>
        <xdr:spPr>
          <a:xfrm>
            <a:off x="10716998" y="604714"/>
            <a:ext cx="1444489" cy="198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28575"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CAMPIONATURE</a:t>
            </a:r>
            <a:endParaRPr lang="it-IT" sz="800" b="1">
              <a:solidFill>
                <a:schemeClr val="bg1"/>
              </a:solidFill>
            </a:endParaRP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/>
        </xdr:nvSpPr>
        <xdr:spPr>
          <a:xfrm>
            <a:off x="13815422" y="860837"/>
            <a:ext cx="64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NO YEAR</a:t>
            </a:r>
          </a:p>
        </xdr:txBody>
      </xdr:sp>
      <xdr:sp macro="[0]!filtroAnnoPrecedente" textlink="#REF!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/>
        </xdr:nvSpPr>
        <xdr:spPr>
          <a:xfrm>
            <a:off x="14501735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900" b="1">
              <a:solidFill>
                <a:schemeClr val="bg1"/>
              </a:solidFill>
            </a:endParaRPr>
          </a:p>
        </xdr:txBody>
      </xdr:sp>
      <xdr:sp macro="[0]!filtroAnnoInCorso" textlink="#REF!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/>
        </xdr:nvSpPr>
        <xdr:spPr>
          <a:xfrm>
            <a:off x="15024572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500" b="1">
              <a:solidFill>
                <a:schemeClr val="bg1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/>
        </xdr:nvSpPr>
        <xdr:spPr>
          <a:xfrm>
            <a:off x="13815422" y="594444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ATTESA</a:t>
            </a: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/>
        </xdr:nvSpPr>
        <xdr:spPr>
          <a:xfrm>
            <a:off x="13815422" y="333932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TRANSITO</a:t>
            </a: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/>
        </xdr:nvSpPr>
        <xdr:spPr>
          <a:xfrm>
            <a:off x="13815422" y="73420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CONSEGNATE</a:t>
            </a: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0716998" y="860837"/>
            <a:ext cx="1444489" cy="19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PRODUZIONI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2230056" y="86083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rgbClr val="33CC33"/>
                </a:solidFill>
              </a:rPr>
              <a:t>VENDITE PRONTE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694</xdr:col>
      <xdr:colOff>466726</xdr:colOff>
      <xdr:row>3</xdr:row>
      <xdr:rowOff>141854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00000000-0008-0000-0C00-0000B1540000}"/>
            </a:ext>
          </a:extLst>
        </xdr:cNvPr>
        <xdr:cNvGrpSpPr/>
      </xdr:nvGrpSpPr>
      <xdr:grpSpPr>
        <a:xfrm>
          <a:off x="0" y="6350"/>
          <a:ext cx="10944226" cy="78320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 hidden="1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C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 hidden="1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2393950" y="1835150"/>
          <a:ext cx="2501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00000000-0008-0000-0C00-00008954000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C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ITEM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00000000-0008-0000-0C00-000085540000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0000000-0008-0000-0C00-00008A540000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00000000-0008-0000-0C00-000087540000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C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00000000-0008-0000-0C00-000081540000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grpSp>
      <xdr:nvGrpSpPr>
        <xdr:cNvPr id="15" name="importExportMenu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5016500" y="1835150"/>
          <a:ext cx="2501900" cy="6597650"/>
          <a:chOff x="5016500" y="1524000"/>
          <a:chExt cx="2501900" cy="659765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5016500" y="1524000"/>
            <a:ext cx="2501900" cy="65976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GrpSpPr/>
        </xdr:nvGrpSpPr>
        <xdr:grpSpPr>
          <a:xfrm>
            <a:off x="5140325" y="1854200"/>
            <a:ext cx="2254250" cy="1492250"/>
            <a:chOff x="5140325" y="18542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/>
          </xdr:nvSpPr>
          <xdr:spPr>
            <a:xfrm>
              <a:off x="5250393" y="29527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Orders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5250393" y="21717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Orders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/>
          </xdr:nvSpPr>
          <xdr:spPr>
            <a:xfrm>
              <a:off x="5250393" y="25590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/>
          </xdr:nvSpPr>
          <xdr:spPr>
            <a:xfrm>
              <a:off x="5140325" y="18542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00000000-0008-0000-0C00-00004B000000}"/>
              </a:ext>
            </a:extLst>
          </xdr:cNvPr>
          <xdr:cNvGrpSpPr/>
        </xdr:nvGrpSpPr>
        <xdr:grpSpPr>
          <a:xfrm>
            <a:off x="5140325" y="3409950"/>
            <a:ext cx="2254250" cy="1098550"/>
            <a:chOff x="2660650" y="5454650"/>
            <a:chExt cx="2254250" cy="1098550"/>
          </a:xfrm>
        </xdr:grpSpPr>
        <xdr:sp macro="[0]!exportDatabase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Database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GrpSpPr/>
        </xdr:nvGrpSpPr>
        <xdr:grpSpPr>
          <a:xfrm>
            <a:off x="5140325" y="457200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Database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C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Database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C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GrpSpPr/>
        </xdr:nvGrpSpPr>
        <xdr:grpSpPr>
          <a:xfrm>
            <a:off x="5140325" y="5727700"/>
            <a:ext cx="2254250" cy="1098550"/>
            <a:chOff x="5140325" y="5727700"/>
            <a:chExt cx="2254250" cy="1098550"/>
          </a:xfrm>
        </xdr:grpSpPr>
        <xdr:sp macro="" textlink="">
          <xdr:nvSpPr>
            <xdr:cNvPr id="18" name="editClient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5241450" y="60388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</a:t>
              </a:r>
              <a:r>
                <a:rPr lang="it-IT" sz="1100" b="1" baseline="0">
                  <a:solidFill>
                    <a:schemeClr val="bg1"/>
                  </a:solidFill>
                </a:rPr>
                <a:t> RISK CLASS</a:t>
              </a:r>
              <a:r>
                <a:rPr lang="it-IT" sz="1100" b="1">
                  <a:solidFill>
                    <a:schemeClr val="bg1"/>
                  </a:solidFill>
                </a:rPr>
                <a:t> DATA</a:t>
              </a:r>
            </a:p>
          </xdr:txBody>
        </xdr:sp>
        <xdr:sp macro="" textlink="">
          <xdr:nvSpPr>
            <xdr:cNvPr id="19" name="editClient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5241450" y="64262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RISK CLASS DATA</a:t>
              </a:r>
            </a:p>
          </xdr:txBody>
        </xdr:sp>
        <xdr:sp macro="" textlink="">
          <xdr:nvSpPr>
            <xdr:cNvPr id="16" name="Rettangolo con angoli arrotondati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5140325" y="572770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DANGEROUS GOODS</a:t>
              </a:r>
            </a:p>
          </xdr:txBody>
        </xdr:sp>
      </xdr:grpSp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GrpSpPr/>
        </xdr:nvGrpSpPr>
        <xdr:grpSpPr>
          <a:xfrm>
            <a:off x="5239571" y="6940550"/>
            <a:ext cx="2052000" cy="1083347"/>
            <a:chOff x="5239571" y="6940550"/>
            <a:chExt cx="2052000" cy="1083347"/>
          </a:xfrm>
        </xdr:grpSpPr>
        <xdr:sp macro="[0]!exportFullData" textlink="">
          <xdr:nvSpPr>
            <xdr:cNvPr id="32" name="editClient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/>
          </xdr:nvSpPr>
          <xdr:spPr>
            <a:xfrm>
              <a:off x="5239571" y="694055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FULL DATA</a:t>
              </a:r>
            </a:p>
          </xdr:txBody>
        </xdr:sp>
        <xdr:sp macro="[0]!importFullData" textlink="">
          <xdr:nvSpPr>
            <xdr:cNvPr id="8" name="editClient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5239571" y="732790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FULL DATA</a:t>
              </a:r>
            </a:p>
          </xdr:txBody>
        </xdr:sp>
        <xdr:sp macro="[0]!deleteFullData" textlink="">
          <xdr:nvSpPr>
            <xdr:cNvPr id="39" name="editClient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5240575" y="770890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WHOLE DATABASE</a:t>
              </a:r>
            </a:p>
          </xdr:txBody>
        </xdr:sp>
      </xdr:grpSp>
    </xdr:grpSp>
    <xdr:clientData/>
  </xdr:twoCellAnchor>
  <xdr:twoCellAnchor>
    <xdr:from>
      <xdr:col>75</xdr:col>
      <xdr:colOff>19050</xdr:colOff>
      <xdr:row>38</xdr:row>
      <xdr:rowOff>82550</xdr:rowOff>
    </xdr:from>
    <xdr:to>
      <xdr:col>75</xdr:col>
      <xdr:colOff>1651000</xdr:colOff>
      <xdr:row>47</xdr:row>
      <xdr:rowOff>10423</xdr:rowOff>
    </xdr:to>
    <xdr:sp macro="" textlink="">
      <xdr:nvSpPr>
        <xdr:cNvPr id="2" name="textBox_basket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9700" y="7086600"/>
          <a:ext cx="16319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it-IT" sz="1100" b="1" kern="1200">
              <a:solidFill>
                <a:sysClr val="windowText" lastClr="000000"/>
              </a:solidFill>
            </a:rPr>
            <a:t>QUANDO MODIFICHI IL CONTENUTO DI UN ORDINE RICORDATI DI REGISTRARE LE MODIFICHE SCHIACCIANDO SU UPDATE BASKET O QUESTE VERRANNO PERSE!</a:t>
          </a:r>
        </a:p>
      </xdr:txBody>
    </xdr:sp>
    <xdr:clientData/>
  </xdr:twoCellAnchor>
  <xdr:twoCellAnchor>
    <xdr:from>
      <xdr:col>131</xdr:col>
      <xdr:colOff>127000</xdr:colOff>
      <xdr:row>30</xdr:row>
      <xdr:rowOff>165100</xdr:rowOff>
    </xdr:from>
    <xdr:to>
      <xdr:col>133</xdr:col>
      <xdr:colOff>136525</xdr:colOff>
      <xdr:row>39</xdr:row>
      <xdr:rowOff>92973</xdr:rowOff>
    </xdr:to>
    <xdr:sp macro="" textlink="">
      <xdr:nvSpPr>
        <xdr:cNvPr id="42" name="textBox_warehouse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27000" y="5645150"/>
          <a:ext cx="16954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t-IT" sz="1100" b="1" kern="1200"/>
            <a:t>AD OGNI CAMBIO FILTRO LO STOCK VERRA' RICALCOLATO. L'OPERAZIONE POTREBBE RICHIEDERE QUALCHE SECONDO. E' CONSIGLIABILE SALVARE PRIMA DI ESEGUIRE L'OPERAZIONE.</a:t>
          </a:r>
        </a:p>
      </xdr:txBody>
    </xdr: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53" name="otherMenu">
          <a:extLst>
            <a:ext uri="{FF2B5EF4-FFF2-40B4-BE49-F238E27FC236}">
              <a16:creationId xmlns:a16="http://schemas.microsoft.com/office/drawing/2014/main" id="{20E2CC9A-4328-A912-831F-F4222B89BFB9}"/>
            </a:ext>
          </a:extLst>
        </xdr:cNvPr>
        <xdr:cNvGrpSpPr/>
      </xdr:nvGrpSpPr>
      <xdr:grpSpPr>
        <a:xfrm>
          <a:off x="7664450" y="1841500"/>
          <a:ext cx="2501900" cy="3441700"/>
          <a:chOff x="7664450" y="18415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7664450" y="18415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GrpSpPr/>
        </xdr:nvGrpSpPr>
        <xdr:grpSpPr>
          <a:xfrm>
            <a:off x="7788275" y="21717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  <xdr:grpSp>
        <xdr:nvGrpSpPr>
          <xdr:cNvPr id="52" name="Gruppo 51">
            <a:extLst>
              <a:ext uri="{FF2B5EF4-FFF2-40B4-BE49-F238E27FC236}">
                <a16:creationId xmlns:a16="http://schemas.microsoft.com/office/drawing/2014/main" id="{37D85444-E407-A45A-71AF-A35F83165968}"/>
              </a:ext>
            </a:extLst>
          </xdr:cNvPr>
          <xdr:cNvGrpSpPr/>
        </xdr:nvGrpSpPr>
        <xdr:grpSpPr>
          <a:xfrm>
            <a:off x="7788275" y="3727450"/>
            <a:ext cx="2254250" cy="1485900"/>
            <a:chOff x="13147675" y="3879850"/>
            <a:chExt cx="2254250" cy="1485900"/>
          </a:xfrm>
        </xdr:grpSpPr>
        <xdr:sp macro="[0]!protectionSwitcher" textlink="">
          <xdr:nvSpPr>
            <xdr:cNvPr id="48" name="applyProtection" hidden="1">
              <a:extLst>
                <a:ext uri="{FF2B5EF4-FFF2-40B4-BE49-F238E27FC236}">
                  <a16:creationId xmlns:a16="http://schemas.microsoft.com/office/drawing/2014/main" id="{B8F8B4FF-F00E-FB52-ACA4-C9FB30A0FB04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APPLY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protectionBox">
              <a:extLst>
                <a:ext uri="{FF2B5EF4-FFF2-40B4-BE49-F238E27FC236}">
                  <a16:creationId xmlns:a16="http://schemas.microsoft.com/office/drawing/2014/main" id="{7385F6D6-B96F-E300-CDF9-4CA8E48A55D5}"/>
                </a:ext>
              </a:extLst>
            </xdr:cNvPr>
            <xdr:cNvSpPr/>
          </xdr:nvSpPr>
          <xdr:spPr>
            <a:xfrm>
              <a:off x="13147675" y="387985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WORKBOOK PROTECTION</a:t>
              </a:r>
            </a:p>
          </xdr:txBody>
        </xdr:sp>
        <xdr:sp macro="[0]!protectionSwitcher" textlink="">
          <xdr:nvSpPr>
            <xdr:cNvPr id="50" name="removeProtection">
              <a:extLst>
                <a:ext uri="{FF2B5EF4-FFF2-40B4-BE49-F238E27FC236}">
                  <a16:creationId xmlns:a16="http://schemas.microsoft.com/office/drawing/2014/main" id="{88ABC8E7-C923-05D5-DCBE-7FFC24DE21AE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REMOVE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ustomerData" displayName="customerData" ref="A1:AE2" insertRow="1" totalsRowShown="0" headerRowDxfId="242" dataDxfId="241">
  <autoFilter ref="A1:AE2" xr:uid="{00000000-0009-0000-0100-000005000000}"/>
  <sortState xmlns:xlrd2="http://schemas.microsoft.com/office/spreadsheetml/2017/richdata2" ref="A2:AE2">
    <sortCondition ref="A1:A2"/>
  </sortState>
  <tableColumns count="31">
    <tableColumn id="1" xr3:uid="{00000000-0010-0000-0000-000001000000}" name="cod_cliente" dataDxfId="240"/>
    <tableColumn id="2" xr3:uid="{00000000-0010-0000-0000-000002000000}" name="country" dataDxfId="239"/>
    <tableColumn id="3" xr3:uid="{00000000-0010-0000-0000-000003000000}" name="payment_account" dataDxfId="238"/>
    <tableColumn id="4" xr3:uid="{00000000-0010-0000-0000-000004000000}" name="company_name1" dataDxfId="237"/>
    <tableColumn id="5" xr3:uid="{00000000-0010-0000-0000-000005000000}" name="company_name2" dataDxfId="236"/>
    <tableColumn id="6" xr3:uid="{00000000-0010-0000-0000-000006000000}" name="logistic_name" dataDxfId="235"/>
    <tableColumn id="7" xr3:uid="{00000000-0010-0000-0000-000007000000}" name="logistic_address1" dataDxfId="234"/>
    <tableColumn id="8" xr3:uid="{00000000-0010-0000-0000-000008000000}" name="logistic_address2" dataDxfId="233"/>
    <tableColumn id="18" xr3:uid="{00000000-0010-0000-0000-000012000000}" name="logistic_address3" dataDxfId="232"/>
    <tableColumn id="31" xr3:uid="{00000000-0010-0000-0000-00001F000000}" name="logistic_address4" dataDxfId="231"/>
    <tableColumn id="19" xr3:uid="{00000000-0010-0000-0000-000013000000}" name="place_of_discharge" dataDxfId="230"/>
    <tableColumn id="15" xr3:uid="{00000000-0010-0000-0000-00000F000000}" name="hq_address1" dataDxfId="229"/>
    <tableColumn id="16" xr3:uid="{00000000-0010-0000-0000-000010000000}" name="hq_address2" dataDxfId="228"/>
    <tableColumn id="17" xr3:uid="{00000000-0010-0000-0000-000011000000}" name="hq_address3" dataDxfId="227"/>
    <tableColumn id="9" xr3:uid="{00000000-0010-0000-0000-000009000000}" name="vat_no" dataDxfId="226"/>
    <tableColumn id="10" xr3:uid="{00000000-0010-0000-0000-00000A000000}" name="payment_method" dataDxfId="225"/>
    <tableColumn id="11" xr3:uid="{00000000-0010-0000-0000-00000B000000}" name="incoterms" dataDxfId="224"/>
    <tableColumn id="12" xr3:uid="{00000000-0010-0000-0000-00000C000000}" name="currency" dataDxfId="223"/>
    <tableColumn id="13" xr3:uid="{00000000-0010-0000-0000-00000D000000}" name="vat_code" dataDxfId="222"/>
    <tableColumn id="14" xr3:uid="{00000000-0010-0000-0000-00000E000000}" name="legal_references" dataDxfId="221"/>
    <tableColumn id="20" xr3:uid="{00000000-0010-0000-0000-000014000000}" name="notes" dataDxfId="220"/>
    <tableColumn id="21" xr3:uid="{00000000-0010-0000-0000-000015000000}" name="opt_ean" dataDxfId="219"/>
    <tableColumn id="22" xr3:uid="{00000000-0010-0000-0000-000016000000}" name="opt_eori" dataDxfId="218"/>
    <tableColumn id="25" xr3:uid="{00000000-0010-0000-0000-000019000000}" name="opt_hscode" dataDxfId="217"/>
    <tableColumn id="23" xr3:uid="{00000000-0010-0000-0000-000017000000}" name="opt_focvalue" dataDxfId="216"/>
    <tableColumn id="24" xr3:uid="{00000000-0010-0000-0000-000018000000}" name="opt_focdiscount" dataDxfId="215"/>
    <tableColumn id="26" xr3:uid="{00000000-0010-0000-0000-00001A000000}" name="opt_deliveryaddress" dataDxfId="214"/>
    <tableColumn id="27" xr3:uid="{00000000-0010-0000-0000-00001B000000}" name="opt_origin" dataDxfId="213"/>
    <tableColumn id="28" xr3:uid="{00000000-0010-0000-0000-00001C000000}" name="destination" dataDxfId="212"/>
    <tableColumn id="29" xr3:uid="{00000000-0010-0000-0000-00001D000000}" name="place_of_loading" dataDxfId="211"/>
    <tableColumn id="30" xr3:uid="{00000000-0010-0000-0000-00001E000000}" name="opt_loadingaddress" dataDxfId="21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Data" displayName="productData" ref="A1:AJ2" insertRow="1" totalsRowShown="0" headerRowDxfId="209" dataDxfId="208">
  <autoFilter ref="A1:AJ2" xr:uid="{00000000-0009-0000-0100-000001000000}"/>
  <tableColumns count="36">
    <tableColumn id="1" xr3:uid="{00000000-0010-0000-0100-000001000000}" name="sku" dataDxfId="207"/>
    <tableColumn id="2" xr3:uid="{00000000-0010-0000-0100-000002000000}" name="category" dataDxfId="206"/>
    <tableColumn id="4" xr3:uid="{00000000-0010-0000-0100-000004000000}" name="sex" dataDxfId="205"/>
    <tableColumn id="5" xr3:uid="{00000000-0010-0000-0100-000005000000}" name="ean" dataDxfId="204"/>
    <tableColumn id="6" xr3:uid="{00000000-0010-0000-0100-000006000000}" name="hs_code" dataDxfId="203"/>
    <tableColumn id="7" xr3:uid="{00000000-0010-0000-0100-000007000000}" name="description" dataDxfId="202"/>
    <tableColumn id="8" xr3:uid="{00000000-0010-0000-0100-000008000000}" name="unit" dataDxfId="201"/>
    <tableColumn id="9" xr3:uid="{00000000-0010-0000-0100-000009000000}" name="units_per_carton" dataDxfId="200"/>
    <tableColumn id="10" xr3:uid="{00000000-0010-0000-0100-00000A000000}" name="box_per_europallet" dataDxfId="199"/>
    <tableColumn id="13" xr3:uid="{00000000-0010-0000-0100-00000D000000}" name="box_per_pallet" dataDxfId="198" dataCellStyle="Normale 2"/>
    <tableColumn id="39" xr3:uid="{00000000-0010-0000-0100-000027000000}" name="layer_per_europallet" dataDxfId="197" dataCellStyle="Normale 2"/>
    <tableColumn id="12" xr3:uid="{00000000-0010-0000-0100-00000C000000}" name="layers_per_pallet" dataDxfId="196" dataCellStyle="Normale 2"/>
    <tableColumn id="38" xr3:uid="{00000000-0010-0000-0100-000026000000}" name="box_per_eurolayer" dataDxfId="195" dataCellStyle="Normale 2"/>
    <tableColumn id="11" xr3:uid="{00000000-0010-0000-0100-00000B000000}" name="box_per_layer" dataDxfId="194"/>
    <tableColumn id="14" xr3:uid="{00000000-0010-0000-0100-00000E000000}" name="length" dataDxfId="193"/>
    <tableColumn id="15" xr3:uid="{00000000-0010-0000-0100-00000F000000}" name="width" dataDxfId="192"/>
    <tableColumn id="16" xr3:uid="{00000000-0010-0000-0100-000010000000}" name="height" dataDxfId="191"/>
    <tableColumn id="17" xr3:uid="{00000000-0010-0000-0100-000011000000}" name="net_weight" dataDxfId="190"/>
    <tableColumn id="18" xr3:uid="{00000000-0010-0000-0100-000012000000}" name="gross_weight" dataDxfId="189"/>
    <tableColumn id="26" xr3:uid="{00000000-0010-0000-0100-00001A000000}" name="country_of_origin" dataDxfId="188"/>
    <tableColumn id="27" xr3:uid="{00000000-0010-0000-0100-00001B000000}" name="sku_geko" dataDxfId="187"/>
    <tableColumn id="28" xr3:uid="{00000000-0010-0000-0100-00001C000000}" name="is_dangerous_good" dataDxfId="186"/>
    <tableColumn id="31" xr3:uid="{00000000-0010-0000-0100-00001F000000}" name="no_of_products" dataDxfId="185" dataCellStyle="Normale 2"/>
    <tableColumn id="32" xr3:uid="{00000000-0010-0000-0100-000020000000}" name="no_of_dang_products" dataDxfId="184" dataCellStyle="Normale 2"/>
    <tableColumn id="3" xr3:uid="{00000000-0010-0000-0100-000003000000}" name="risk_class" dataDxfId="183"/>
    <tableColumn id="19" xr3:uid="{00000000-0010-0000-0100-000013000000}" name="size1" dataDxfId="182" dataCellStyle="Normale 2"/>
    <tableColumn id="24" xr3:uid="{00000000-0010-0000-0100-000018000000}" name="dgn_weight_p1" dataDxfId="181" dataCellStyle="Normale 2"/>
    <tableColumn id="21" xr3:uid="{00000000-0010-0000-0100-000015000000}" name="risk_class2" dataDxfId="180"/>
    <tableColumn id="20" xr3:uid="{00000000-0010-0000-0100-000014000000}" name="size2" dataDxfId="179" dataCellStyle="Normale 2"/>
    <tableColumn id="25" xr3:uid="{00000000-0010-0000-0100-000019000000}" name="dgn_weight_p2" dataDxfId="178" dataCellStyle="Normale 2"/>
    <tableColumn id="22" xr3:uid="{00000000-0010-0000-0100-000016000000}" name="risk_class3" dataDxfId="177"/>
    <tableColumn id="33" xr3:uid="{00000000-0010-0000-0100-000021000000}" name="size3" dataDxfId="176" dataCellStyle="Normale 2"/>
    <tableColumn id="29" xr3:uid="{00000000-0010-0000-0100-00001D000000}" name="dgn_weight_p3" dataDxfId="175" dataCellStyle="Normale 2"/>
    <tableColumn id="23" xr3:uid="{00000000-0010-0000-0100-000017000000}" name="risk_class4" dataDxfId="174"/>
    <tableColumn id="34" xr3:uid="{00000000-0010-0000-0100-000022000000}" name="size4" dataDxfId="173" dataCellStyle="Normale 2"/>
    <tableColumn id="30" xr3:uid="{00000000-0010-0000-0100-00001E000000}" name="dgn_weight_p4" dataDxfId="17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iftsets_components" displayName="giftsets_components" ref="A1:I2" insertRow="1" totalsRowShown="0" headerRowDxfId="171" dataDxfId="170">
  <autoFilter ref="A1:I2" xr:uid="{00000000-0009-0000-0100-000009000000}"/>
  <sortState xmlns:xlrd2="http://schemas.microsoft.com/office/spreadsheetml/2017/richdata2" ref="A2:I2">
    <sortCondition ref="B2"/>
  </sortState>
  <tableColumns count="9">
    <tableColumn id="1" xr3:uid="{00000000-0010-0000-0200-000001000000}" name="SKU" dataDxfId="169"/>
    <tableColumn id="2" xr3:uid="{00000000-0010-0000-0200-000002000000}" name="DESCRIPTION" dataDxfId="168"/>
    <tableColumn id="3" xr3:uid="{00000000-0010-0000-0200-000003000000}" name="1ST_ELEM" dataDxfId="167"/>
    <tableColumn id="4" xr3:uid="{00000000-0010-0000-0200-000004000000}" name="2ND_ELEM" dataDxfId="166"/>
    <tableColumn id="5" xr3:uid="{00000000-0010-0000-0200-000005000000}" name="3RD_ELEM" dataDxfId="165"/>
    <tableColumn id="9" xr3:uid="{00000000-0010-0000-0200-000009000000}" name="4TH_ELEM" dataDxfId="164"/>
    <tableColumn id="6" xr3:uid="{00000000-0010-0000-0200-000006000000}" name="BOX" dataDxfId="163"/>
    <tableColumn id="7" xr3:uid="{00000000-0010-0000-0200-000007000000}" name="TRAY" dataDxfId="162"/>
    <tableColumn id="8" xr3:uid="{00000000-0010-0000-0200-000008000000}" name="MASTER_CARTON" dataDxfId="16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inventory" displayName="inventory" ref="A1:F2" insertRow="1" totalsRowShown="0" headerRowDxfId="160">
  <autoFilter ref="A1:F2" xr:uid="{00000000-0009-0000-0100-000007000000}"/>
  <sortState xmlns:xlrd2="http://schemas.microsoft.com/office/spreadsheetml/2017/richdata2" ref="A2:F2">
    <sortCondition ref="A1:A2"/>
  </sortState>
  <tableColumns count="6">
    <tableColumn id="1" xr3:uid="{00000000-0010-0000-0300-000001000000}" name="SKU" dataDxfId="159"/>
    <tableColumn id="6" xr3:uid="{00000000-0010-0000-0300-000006000000}" name="SKU GEKO" dataDxfId="158"/>
    <tableColumn id="2" xr3:uid="{00000000-0010-0000-0300-000002000000}" name="DESCRIZIONE"/>
    <tableColumn id="3" xr3:uid="{00000000-0010-0000-0300-000003000000}" name="U.M." dataDxfId="157"/>
    <tableColumn id="4" xr3:uid="{00000000-0010-0000-0300-000004000000}" name="ESISTENZA" dataDxfId="156"/>
    <tableColumn id="5" xr3:uid="{00000000-0010-0000-0300-000005000000}" name="COSTO UNITARIO" dataDxfId="155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dgnClasses" displayName="dgnClasses" ref="A1:D2" insertRow="1" totalsRowShown="0" headerRowDxfId="154">
  <autoFilter ref="A1:D2" xr:uid="{00000000-0009-0000-0100-000008000000}"/>
  <sortState xmlns:xlrd2="http://schemas.microsoft.com/office/spreadsheetml/2017/richdata2" ref="A2:D2">
    <sortCondition ref="A2"/>
  </sortState>
  <tableColumns count="4">
    <tableColumn id="1" xr3:uid="{00000000-0010-0000-0400-000001000000}" name="riskClassName" dataDxfId="153"/>
    <tableColumn id="2" xr3:uid="{00000000-0010-0000-0400-000002000000}" name="classDesc1" dataDxfId="152"/>
    <tableColumn id="3" xr3:uid="{00000000-0010-0000-0400-000003000000}" name="classDesc2" dataDxfId="151"/>
    <tableColumn id="4" xr3:uid="{00000000-0010-0000-0400-000004000000}" name="classBoxType" dataDxfId="15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2" insertRow="1" totalsRowShown="0" headerRowDxfId="149" dataDxfId="148">
  <autoFilter ref="A1:AU2" xr:uid="{00000000-0009-0000-0100-000003000000}"/>
  <sortState xmlns:xlrd2="http://schemas.microsoft.com/office/spreadsheetml/2017/richdata2" ref="A2:AU2">
    <sortCondition descending="1" ref="B1:B2"/>
  </sortState>
  <tableColumns count="47">
    <tableColumn id="1" xr3:uid="{00000000-0010-0000-0500-000001000000}" name="order_no" dataDxfId="147"/>
    <tableColumn id="2" xr3:uid="{00000000-0010-0000-0500-000002000000}" name="order_date" dataDxfId="146"/>
    <tableColumn id="3" xr3:uid="{00000000-0010-0000-0500-000003000000}" name="customer" dataDxfId="145"/>
    <tableColumn id="4" xr3:uid="{00000000-0010-0000-0500-000004000000}" name="currency" dataDxfId="144"/>
    <tableColumn id="5" xr3:uid="{00000000-0010-0000-0500-000005000000}" name="exchange_rate" dataDxfId="143"/>
    <tableColumn id="6" xr3:uid="{00000000-0010-0000-0500-000006000000}" name="carton_no" dataDxfId="142"/>
    <tableColumn id="7" xr3:uid="{00000000-0010-0000-0500-000007000000}" name="incoterms" dataDxfId="141"/>
    <tableColumn id="8" xr3:uid="{00000000-0010-0000-0500-000008000000}" name="pallet_type" dataDxfId="140"/>
    <tableColumn id="9" xr3:uid="{00000000-0010-0000-0500-000009000000}" name="pallet_no" dataDxfId="139"/>
    <tableColumn id="30" xr3:uid="{00000000-0010-0000-0500-00001E000000}" name="max_height" dataDxfId="138"/>
    <tableColumn id="31" xr3:uid="{00000000-0010-0000-0500-00001F000000}" name="place_loading" dataDxfId="137"/>
    <tableColumn id="24" xr3:uid="{00000000-0010-0000-0500-000018000000}" name="net_weight" dataDxfId="136"/>
    <tableColumn id="23" xr3:uid="{00000000-0010-0000-0500-000017000000}" name="gross_weight" dataDxfId="135"/>
    <tableColumn id="10" xr3:uid="{00000000-0010-0000-0500-00000A000000}" name="cbm" dataDxfId="134"/>
    <tableColumn id="11" xr3:uid="{00000000-0010-0000-0500-00000B000000}" name="carrier_name" dataDxfId="133"/>
    <tableColumn id="12" xr3:uid="{00000000-0010-0000-0500-00000C000000}" name="carrier_cost" dataDxfId="132"/>
    <tableColumn id="25" xr3:uid="{00000000-0010-0000-0500-000019000000}" name="other_cost" dataDxfId="131"/>
    <tableColumn id="13" xr3:uid="{00000000-0010-0000-0500-00000D000000}" name="status" dataDxfId="130"/>
    <tableColumn id="14" xr3:uid="{00000000-0010-0000-0500-00000E000000}" name="place_discharge" dataDxfId="129"/>
    <tableColumn id="15" xr3:uid="{00000000-0010-0000-0500-00000F000000}" name="invoice_no" dataDxfId="128"/>
    <tableColumn id="16" xr3:uid="{00000000-0010-0000-0500-000010000000}" name="invoice_date" dataDxfId="127"/>
    <tableColumn id="37" xr3:uid="{00000000-0010-0000-0500-000025000000}" name="order_type" dataDxfId="126"/>
    <tableColumn id="17" xr3:uid="{00000000-0010-0000-0500-000011000000}" name="payment_type" dataDxfId="125"/>
    <tableColumn id="18" xr3:uid="{00000000-0010-0000-0500-000012000000}" name="payment_date" dataDxfId="124"/>
    <tableColumn id="19" xr3:uid="{00000000-0010-0000-0500-000013000000}" name="payed" dataDxfId="123"/>
    <tableColumn id="20" xr3:uid="{00000000-0010-0000-0500-000014000000}" name="cost_of_goods" dataDxfId="122"/>
    <tableColumn id="21" xr3:uid="{00000000-0010-0000-0500-000015000000}" name="inv_amount" dataDxfId="121"/>
    <tableColumn id="22" xr3:uid="{00000000-0010-0000-0500-000016000000}" name="profit" dataDxfId="120"/>
    <tableColumn id="26" xr3:uid="{00000000-0010-0000-0500-00001A000000}" name="labor_hours" dataDxfId="119"/>
    <tableColumn id="27" xr3:uid="{00000000-0010-0000-0500-00001B000000}" name="labor_cost" dataDxfId="118"/>
    <tableColumn id="28" xr3:uid="{00000000-0010-0000-0500-00001C000000}" name="production_no" dataDxfId="117"/>
    <tableColumn id="29" xr3:uid="{00000000-0010-0000-0500-00001D000000}" name="produced" dataDxfId="116"/>
    <tableColumn id="32" xr3:uid="{00000000-0010-0000-0500-000020000000}" name="lock_goods" dataDxfId="115"/>
    <tableColumn id="33" xr3:uid="{00000000-0010-0000-0500-000021000000}" name="destination" dataDxfId="114"/>
    <tableColumn id="34" xr3:uid="{00000000-0010-0000-0500-000022000000}" name="order_notes" dataDxfId="113"/>
    <tableColumn id="35" xr3:uid="{00000000-0010-0000-0500-000023000000}" name="shipping_method" dataDxfId="112"/>
    <tableColumn id="36" xr3:uid="{00000000-0010-0000-0500-000024000000}" name="accountable" dataDxfId="111"/>
    <tableColumn id="38" xr3:uid="{00000000-0010-0000-0500-000026000000}" name="vessel_name" dataDxfId="110"/>
    <tableColumn id="39" xr3:uid="{00000000-0010-0000-0500-000027000000}" name="container_no" dataDxfId="109"/>
    <tableColumn id="40" xr3:uid="{00000000-0010-0000-0500-000028000000}" name="container_type" dataDxfId="108"/>
    <tableColumn id="41" xr3:uid="{00000000-0010-0000-0500-000029000000}" name="seal_no" dataDxfId="107"/>
    <tableColumn id="42" xr3:uid="{00000000-0010-0000-0500-00002A000000}" name="pickup_date" dataDxfId="106"/>
    <tableColumn id="43" xr3:uid="{00000000-0010-0000-0500-00002B000000}" name="shipping_address1" dataDxfId="105"/>
    <tableColumn id="44" xr3:uid="{00000000-0010-0000-0500-00002C000000}" name="shipping_address2" dataDxfId="104"/>
    <tableColumn id="45" xr3:uid="{00000000-0010-0000-0500-00002D000000}" name="shipping_address3" dataDxfId="103"/>
    <tableColumn id="46" xr3:uid="{00000000-0010-0000-0500-00002E000000}" name="shipping_address4" dataDxfId="102"/>
    <tableColumn id="47" xr3:uid="{00000000-0010-0000-0500-00002F000000}" name="custom_docs" dataDxfId="101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2" insertRow="1" totalsRowShown="0" headerRowDxfId="100" dataDxfId="99">
  <autoFilter ref="A1:W2" xr:uid="{00000000-0009-0000-0100-000004000000}"/>
  <tableColumns count="23">
    <tableColumn id="1" xr3:uid="{00000000-0010-0000-0600-000001000000}" name="order_no" dataDxfId="98"/>
    <tableColumn id="4" xr3:uid="{00000000-0010-0000-0600-000004000000}" name="sku" dataDxfId="97"/>
    <tableColumn id="7" xr3:uid="{00000000-0010-0000-0600-000007000000}" name="description" dataDxfId="96"/>
    <tableColumn id="5" xr3:uid="{00000000-0010-0000-0600-000005000000}" name="qty" dataDxfId="95"/>
    <tableColumn id="6" xr3:uid="{00000000-0010-0000-0600-000006000000}" name="price" dataDxfId="94"/>
    <tableColumn id="3" xr3:uid="{00000000-0010-0000-0600-000003000000}" name="disc_qty" dataDxfId="93"/>
    <tableColumn id="8" xr3:uid="{00000000-0010-0000-0600-000008000000}" name="disc_price" dataDxfId="92"/>
    <tableColumn id="11" xr3:uid="{00000000-0010-0000-0600-00000B000000}" name="foc_qty" dataDxfId="91"/>
    <tableColumn id="10" xr3:uid="{00000000-0010-0000-0600-00000A000000}" name="cts" dataDxfId="90"/>
    <tableColumn id="17" xr3:uid="{00000000-0010-0000-0600-000011000000}" name="cts_disc" dataDxfId="89"/>
    <tableColumn id="2" xr3:uid="{00000000-0010-0000-0600-000002000000}" name="cts_foc" dataDxfId="88"/>
    <tableColumn id="9" xr3:uid="{00000000-0010-0000-0600-000009000000}" name="net_weight" dataDxfId="87"/>
    <tableColumn id="12" xr3:uid="{00000000-0010-0000-0600-00000C000000}" name="gross_weight" dataDxfId="86"/>
    <tableColumn id="13" xr3:uid="{00000000-0010-0000-0600-00000D000000}" name="cbm" dataDxfId="85"/>
    <tableColumn id="14" xr3:uid="{00000000-0010-0000-0600-00000E000000}" name="category" dataDxfId="84"/>
    <tableColumn id="15" xr3:uid="{00000000-0010-0000-0600-00000F000000}" name="size" dataDxfId="83"/>
    <tableColumn id="16" xr3:uid="{00000000-0010-0000-0600-000010000000}" name="hs_code" dataDxfId="82"/>
    <tableColumn id="23" xr3:uid="{00000000-0010-0000-0600-000017000000}" name="sku_geko" dataDxfId="81"/>
    <tableColumn id="22" xr3:uid="{00000000-0010-0000-0600-000016000000}" name="qty_to_produce" dataDxfId="80"/>
    <tableColumn id="18" xr3:uid="{00000000-0010-0000-0600-000012000000}" name="cost_price" dataDxfId="79"/>
    <tableColumn id="20" xr3:uid="{00000000-0010-0000-0600-000014000000}" name="cost" dataDxfId="78"/>
    <tableColumn id="21" xr3:uid="{00000000-0010-0000-0600-000015000000}" name="tot_invoice" dataDxfId="77"/>
    <tableColumn id="19" xr3:uid="{00000000-0010-0000-0600-000013000000}" name="order_type" dataDxfId="7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AZ18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activeCell="C25" sqref="C25"/>
    </sheetView>
  </sheetViews>
  <sheetFormatPr defaultColWidth="8.7265625" defaultRowHeight="14.5" x14ac:dyDescent="0.35"/>
  <cols>
    <col min="1" max="1" width="31.1796875" style="51" bestFit="1" customWidth="1"/>
    <col min="2" max="2" width="17" style="1" bestFit="1" customWidth="1"/>
    <col min="3" max="3" width="105.7265625" style="51" bestFit="1" customWidth="1"/>
    <col min="4" max="4" width="42.54296875" bestFit="1" customWidth="1"/>
    <col min="5" max="6" width="38.7265625" bestFit="1" customWidth="1"/>
    <col min="7" max="7" width="39.54296875" bestFit="1" customWidth="1"/>
    <col min="8" max="8" width="38.26953125" bestFit="1" customWidth="1"/>
    <col min="9" max="11" width="38.26953125" customWidth="1"/>
    <col min="12" max="12" width="46.26953125" style="60" bestFit="1" customWidth="1"/>
    <col min="13" max="13" width="33" style="60" bestFit="1" customWidth="1"/>
    <col min="14" max="14" width="39.54296875" style="60" bestFit="1" customWidth="1"/>
    <col min="15" max="15" width="28.26953125" bestFit="1" customWidth="1"/>
    <col min="16" max="16" width="57.81640625" style="1" bestFit="1" customWidth="1"/>
    <col min="17" max="17" width="55.81640625" customWidth="1"/>
    <col min="18" max="18" width="12" style="1" bestFit="1" customWidth="1"/>
    <col min="19" max="19" width="13.54296875" style="52" bestFit="1" customWidth="1"/>
    <col min="20" max="20" width="31.7265625" style="1" customWidth="1"/>
    <col min="21" max="21" width="34.54296875" style="372" customWidth="1"/>
    <col min="22" max="26" width="16.1796875" style="198" customWidth="1"/>
    <col min="27" max="27" width="24.26953125" bestFit="1" customWidth="1"/>
    <col min="28" max="28" width="16.54296875" customWidth="1"/>
    <col min="29" max="29" width="18" customWidth="1"/>
    <col min="30" max="30" width="23.54296875" customWidth="1"/>
    <col min="31" max="31" width="23.54296875" bestFit="1" customWidth="1"/>
  </cols>
  <sheetData>
    <row r="1" spans="1:52" s="4" customFormat="1" x14ac:dyDescent="0.3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367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0" t="s">
        <v>35</v>
      </c>
      <c r="T1" s="4" t="s">
        <v>36</v>
      </c>
      <c r="U1" s="4" t="s">
        <v>37</v>
      </c>
      <c r="V1" s="4" t="s">
        <v>327</v>
      </c>
      <c r="W1" s="4" t="s">
        <v>326</v>
      </c>
      <c r="X1" s="4" t="s">
        <v>323</v>
      </c>
      <c r="Y1" s="4" t="s">
        <v>324</v>
      </c>
      <c r="Z1" s="4" t="s">
        <v>325</v>
      </c>
      <c r="AA1" s="4" t="s">
        <v>328</v>
      </c>
      <c r="AB1" s="4" t="s">
        <v>330</v>
      </c>
      <c r="AC1" s="4" t="s">
        <v>331</v>
      </c>
      <c r="AD1" s="4" t="s">
        <v>332</v>
      </c>
      <c r="AE1" s="4" t="s">
        <v>335</v>
      </c>
      <c r="AZ1" s="4">
        <f>COUNTA(A:A)</f>
        <v>1</v>
      </c>
    </row>
    <row r="2" spans="1:52" x14ac:dyDescent="0.35">
      <c r="D2" s="3"/>
      <c r="E2" s="3"/>
      <c r="F2" s="3"/>
      <c r="G2" s="51"/>
      <c r="H2" s="504"/>
      <c r="I2" s="505"/>
      <c r="J2" s="505"/>
      <c r="K2" s="505"/>
      <c r="L2" s="506"/>
      <c r="M2" s="506"/>
      <c r="N2" s="506"/>
      <c r="O2" s="505"/>
      <c r="Q2" s="3"/>
      <c r="U2" s="507"/>
      <c r="V2" s="3"/>
      <c r="W2" s="3"/>
      <c r="X2" s="3"/>
      <c r="Y2" s="3"/>
      <c r="Z2" s="3"/>
      <c r="AA2" s="3"/>
      <c r="AB2" s="3"/>
      <c r="AC2" s="1"/>
      <c r="AD2" s="1"/>
      <c r="AE2" s="1"/>
    </row>
    <row r="3" spans="1:52" x14ac:dyDescent="0.35">
      <c r="H3" s="132"/>
      <c r="I3" s="132"/>
      <c r="J3" s="132"/>
      <c r="K3" s="132"/>
      <c r="L3" s="133"/>
      <c r="M3" s="133"/>
      <c r="N3" s="133"/>
      <c r="O3" s="132"/>
    </row>
    <row r="4" spans="1:52" x14ac:dyDescent="0.35">
      <c r="H4" s="132"/>
      <c r="I4" s="132"/>
      <c r="J4" s="132"/>
      <c r="K4" s="132"/>
      <c r="L4" s="133"/>
      <c r="M4" s="133"/>
      <c r="N4" s="133"/>
      <c r="O4" s="132"/>
    </row>
    <row r="5" spans="1:52" x14ac:dyDescent="0.35">
      <c r="A5"/>
      <c r="B5"/>
      <c r="C5"/>
      <c r="L5"/>
      <c r="M5"/>
      <c r="N5"/>
      <c r="P5"/>
      <c r="R5"/>
      <c r="S5"/>
      <c r="T5"/>
    </row>
    <row r="6" spans="1:52" x14ac:dyDescent="0.35">
      <c r="H6" s="132"/>
      <c r="I6" s="132"/>
      <c r="J6" s="132"/>
      <c r="K6" s="132"/>
      <c r="L6" s="133"/>
      <c r="M6" s="133"/>
      <c r="N6" s="133"/>
      <c r="O6" s="132"/>
    </row>
    <row r="7" spans="1:52" x14ac:dyDescent="0.35">
      <c r="H7" s="132"/>
      <c r="I7" s="132"/>
      <c r="J7" s="132"/>
      <c r="K7" s="132"/>
      <c r="L7" s="133"/>
      <c r="M7" s="133"/>
      <c r="N7" s="133"/>
      <c r="O7" s="132"/>
    </row>
    <row r="8" spans="1:52" x14ac:dyDescent="0.35">
      <c r="H8" s="132"/>
      <c r="I8" s="132"/>
      <c r="J8" s="132"/>
      <c r="K8" s="132"/>
      <c r="L8" s="133"/>
      <c r="M8" s="133"/>
      <c r="N8" s="133"/>
      <c r="O8" s="132"/>
    </row>
    <row r="9" spans="1:52" x14ac:dyDescent="0.35">
      <c r="H9" s="132"/>
      <c r="I9" s="132"/>
      <c r="J9" s="132"/>
      <c r="K9" s="132"/>
      <c r="L9" s="133"/>
      <c r="M9" s="133"/>
      <c r="N9" s="133"/>
      <c r="O9" s="132"/>
    </row>
    <row r="10" spans="1:52" x14ac:dyDescent="0.35">
      <c r="H10" s="132"/>
      <c r="I10" s="132"/>
      <c r="J10" s="132"/>
      <c r="K10" s="132"/>
      <c r="L10" s="133"/>
      <c r="M10" s="133"/>
      <c r="N10" s="133"/>
      <c r="O10" s="132"/>
    </row>
    <row r="11" spans="1:52" x14ac:dyDescent="0.35">
      <c r="H11" s="132"/>
      <c r="I11" s="132"/>
      <c r="J11" s="132"/>
      <c r="K11" s="132"/>
      <c r="L11" s="133"/>
      <c r="M11" s="133"/>
      <c r="N11" s="133"/>
      <c r="O11" s="132"/>
    </row>
    <row r="12" spans="1:52" x14ac:dyDescent="0.35">
      <c r="H12" s="132"/>
      <c r="I12" s="132"/>
      <c r="J12" s="132"/>
      <c r="K12" s="132"/>
      <c r="L12" s="133"/>
      <c r="M12" s="133"/>
      <c r="N12" s="133"/>
      <c r="O12" s="132"/>
    </row>
    <row r="13" spans="1:52" x14ac:dyDescent="0.35">
      <c r="H13" s="132"/>
      <c r="I13" s="132"/>
      <c r="J13" s="132"/>
      <c r="K13" s="132"/>
      <c r="L13" s="133"/>
      <c r="M13" s="133"/>
      <c r="N13" s="133"/>
      <c r="O13" s="132"/>
    </row>
    <row r="14" spans="1:52" x14ac:dyDescent="0.35">
      <c r="H14" s="132"/>
      <c r="I14" s="132"/>
      <c r="J14" s="132"/>
      <c r="K14" s="132"/>
      <c r="L14" s="133"/>
      <c r="M14" s="133"/>
      <c r="N14" s="133"/>
      <c r="O14" s="132"/>
    </row>
    <row r="15" spans="1:52" x14ac:dyDescent="0.35">
      <c r="H15" s="132"/>
      <c r="I15" s="132"/>
      <c r="J15" s="132"/>
      <c r="K15" s="132"/>
      <c r="L15" s="133"/>
      <c r="M15" s="133"/>
      <c r="N15" s="133"/>
      <c r="O15" s="132"/>
    </row>
    <row r="16" spans="1:52" x14ac:dyDescent="0.35">
      <c r="H16" s="132"/>
      <c r="I16" s="132"/>
      <c r="J16" s="132"/>
      <c r="K16" s="132"/>
      <c r="L16" s="133"/>
      <c r="M16" s="133"/>
      <c r="N16" s="133"/>
      <c r="O16" s="132"/>
    </row>
    <row r="17" spans="8:15" x14ac:dyDescent="0.35">
      <c r="H17" s="132"/>
      <c r="I17" s="132"/>
      <c r="J17" s="132"/>
      <c r="K17" s="132"/>
      <c r="L17" s="133"/>
      <c r="M17" s="133"/>
      <c r="N17" s="133"/>
      <c r="O17" s="132"/>
    </row>
    <row r="18" spans="8:15" x14ac:dyDescent="0.35">
      <c r="H18" s="132"/>
      <c r="I18" s="132"/>
      <c r="J18" s="132"/>
      <c r="K18" s="132"/>
      <c r="L18" s="133"/>
      <c r="M18" s="133"/>
      <c r="N18" s="133"/>
      <c r="O18" s="13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BL2"/>
  <sheetViews>
    <sheetView zoomScale="90" zoomScaleNormal="90" workbookViewId="0">
      <pane ySplit="1" topLeftCell="A2" activePane="bottomLeft" state="frozen"/>
      <selection sqref="A1:AJ5"/>
      <selection pane="bottomLeft" activeCell="F45" sqref="F45"/>
    </sheetView>
  </sheetViews>
  <sheetFormatPr defaultColWidth="9.1796875" defaultRowHeight="14.5" x14ac:dyDescent="0.35"/>
  <cols>
    <col min="1" max="1" width="9.26953125" style="55" bestFit="1" customWidth="1"/>
    <col min="2" max="2" width="18.54296875" style="55" bestFit="1" customWidth="1"/>
    <col min="3" max="3" width="8.453125" style="55" bestFit="1" customWidth="1"/>
    <col min="4" max="4" width="15.81640625" style="55" customWidth="1"/>
    <col min="5" max="5" width="19.7265625" style="216" bestFit="1" customWidth="1"/>
    <col min="6" max="6" width="63.1796875" style="496" bestFit="1" customWidth="1"/>
    <col min="7" max="7" width="8.7265625" style="54" bestFit="1" customWidth="1"/>
    <col min="8" max="10" width="15.453125" style="55" customWidth="1"/>
    <col min="11" max="11" width="15.81640625" style="55" bestFit="1" customWidth="1"/>
    <col min="12" max="13" width="15.453125" style="55" customWidth="1"/>
    <col min="14" max="14" width="16.1796875" style="55" customWidth="1"/>
    <col min="18" max="18" width="13" style="54" bestFit="1" customWidth="1"/>
    <col min="19" max="19" width="15.1796875" style="54" customWidth="1"/>
    <col min="21" max="21" width="19.54296875" style="53" customWidth="1"/>
    <col min="22" max="22" width="12.453125" style="181" customWidth="1"/>
    <col min="23" max="25" width="21.54296875" style="54" customWidth="1"/>
    <col min="26" max="26" width="16.453125" style="54" customWidth="1"/>
    <col min="27" max="27" width="15.81640625" style="54" customWidth="1"/>
    <col min="28" max="32" width="18.1796875" style="53" customWidth="1"/>
    <col min="33" max="33" width="17" customWidth="1"/>
    <col min="34" max="35" width="18.1796875" style="53" customWidth="1"/>
    <col min="36" max="36" width="24.453125" customWidth="1"/>
    <col min="38" max="40" width="18.1796875" style="53" customWidth="1"/>
    <col min="41" max="63" width="9.1796875" style="53"/>
    <col min="65" max="16384" width="9.1796875" style="53"/>
  </cols>
  <sheetData>
    <row r="1" spans="1:64" s="56" customFormat="1" ht="28.5" customHeight="1" x14ac:dyDescent="0.35">
      <c r="A1" s="56" t="s">
        <v>0</v>
      </c>
      <c r="B1" s="56" t="s">
        <v>1</v>
      </c>
      <c r="C1" s="56" t="s">
        <v>2</v>
      </c>
      <c r="D1" s="56" t="s">
        <v>3</v>
      </c>
      <c r="E1" s="220" t="s">
        <v>4</v>
      </c>
      <c r="F1" s="56" t="s">
        <v>5</v>
      </c>
      <c r="G1" s="56" t="s">
        <v>6</v>
      </c>
      <c r="H1" s="56" t="s">
        <v>7</v>
      </c>
      <c r="I1" s="56" t="s">
        <v>245</v>
      </c>
      <c r="J1" s="56" t="s">
        <v>8</v>
      </c>
      <c r="K1" s="56" t="s">
        <v>275</v>
      </c>
      <c r="L1" s="56" t="s">
        <v>10</v>
      </c>
      <c r="M1" s="56" t="s">
        <v>274</v>
      </c>
      <c r="N1" s="56" t="s">
        <v>9</v>
      </c>
      <c r="O1" s="56" t="s">
        <v>341</v>
      </c>
      <c r="P1" s="56" t="s">
        <v>11</v>
      </c>
      <c r="Q1" s="56" t="s">
        <v>12</v>
      </c>
      <c r="R1" s="56" t="s">
        <v>13</v>
      </c>
      <c r="S1" s="56" t="s">
        <v>14</v>
      </c>
      <c r="T1" s="56" t="s">
        <v>15</v>
      </c>
      <c r="U1" s="56" t="s">
        <v>307</v>
      </c>
      <c r="V1" s="391" t="s">
        <v>342</v>
      </c>
      <c r="W1" s="391" t="s">
        <v>358</v>
      </c>
      <c r="X1" s="391" t="s">
        <v>359</v>
      </c>
      <c r="Y1" s="393" t="s">
        <v>340</v>
      </c>
      <c r="Z1" s="56" t="s">
        <v>394</v>
      </c>
      <c r="AA1" s="391" t="s">
        <v>354</v>
      </c>
      <c r="AB1" s="391" t="s">
        <v>351</v>
      </c>
      <c r="AC1" s="391" t="s">
        <v>360</v>
      </c>
      <c r="AD1" s="391" t="s">
        <v>355</v>
      </c>
      <c r="AE1" s="391" t="s">
        <v>352</v>
      </c>
      <c r="AF1" s="391" t="s">
        <v>361</v>
      </c>
      <c r="AG1" s="391" t="s">
        <v>356</v>
      </c>
      <c r="AH1" s="391" t="s">
        <v>353</v>
      </c>
      <c r="AI1" s="391" t="s">
        <v>362</v>
      </c>
      <c r="AJ1" s="391" t="s">
        <v>357</v>
      </c>
    </row>
    <row r="2" spans="1:64" x14ac:dyDescent="0.35">
      <c r="A2" s="497"/>
      <c r="B2" s="497"/>
      <c r="C2" s="497"/>
      <c r="D2" s="498"/>
      <c r="F2" s="499"/>
      <c r="G2" s="500"/>
      <c r="H2" s="497"/>
      <c r="I2" s="497"/>
      <c r="J2" s="497"/>
      <c r="L2" s="497"/>
      <c r="N2" s="497"/>
      <c r="O2" s="501"/>
      <c r="P2" s="501"/>
      <c r="Q2" s="501"/>
      <c r="R2" s="500"/>
      <c r="S2" s="500"/>
      <c r="T2" s="501"/>
      <c r="U2" s="500"/>
      <c r="V2" s="502"/>
      <c r="W2" s="500"/>
      <c r="X2" s="500"/>
      <c r="Y2" s="500"/>
      <c r="Z2" s="500"/>
      <c r="AA2" s="500"/>
      <c r="AB2" s="500"/>
      <c r="AC2" s="500"/>
      <c r="AD2" s="500"/>
      <c r="AE2" s="500"/>
      <c r="AF2" s="500"/>
      <c r="AG2" s="500"/>
      <c r="AH2" s="500"/>
      <c r="AI2" s="500"/>
      <c r="AJ2" s="501"/>
      <c r="AK2" s="53"/>
      <c r="BE2"/>
      <c r="BL2" s="53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C2" sqref="C2:E2"/>
    </sheetView>
  </sheetViews>
  <sheetFormatPr defaultRowHeight="14.5" x14ac:dyDescent="0.35"/>
  <cols>
    <col min="1" max="1" width="17.54296875" style="1" bestFit="1" customWidth="1"/>
    <col min="2" max="2" width="56.7265625" bestFit="1" customWidth="1"/>
    <col min="3" max="8" width="11" style="1" customWidth="1"/>
    <col min="9" max="9" width="20" bestFit="1" customWidth="1"/>
    <col min="10" max="11" width="17.54296875" style="390" customWidth="1"/>
    <col min="12" max="25" width="9" customWidth="1"/>
    <col min="26" max="26" width="9.453125" customWidth="1"/>
  </cols>
  <sheetData>
    <row r="1" spans="1:26" s="57" customFormat="1" ht="32.25" customHeight="1" x14ac:dyDescent="0.35">
      <c r="A1" s="57" t="s">
        <v>239</v>
      </c>
      <c r="B1" s="57" t="s">
        <v>278</v>
      </c>
      <c r="C1" s="57" t="s">
        <v>391</v>
      </c>
      <c r="D1" s="57" t="s">
        <v>392</v>
      </c>
      <c r="E1" s="57" t="s">
        <v>345</v>
      </c>
      <c r="F1" s="57" t="s">
        <v>393</v>
      </c>
      <c r="G1" s="57" t="s">
        <v>276</v>
      </c>
      <c r="H1" s="57" t="s">
        <v>277</v>
      </c>
      <c r="I1" s="57" t="s">
        <v>344</v>
      </c>
    </row>
    <row r="2" spans="1:26" x14ac:dyDescent="0.35">
      <c r="B2" s="1"/>
      <c r="F2" s="508"/>
      <c r="I2" s="1"/>
      <c r="J2"/>
      <c r="K2"/>
    </row>
    <row r="3" spans="1:26" x14ac:dyDescent="0.35">
      <c r="B3" s="1"/>
      <c r="J3"/>
      <c r="K3"/>
    </row>
    <row r="4" spans="1:26" x14ac:dyDescent="0.35">
      <c r="J4"/>
      <c r="K4"/>
    </row>
    <row r="5" spans="1:26" x14ac:dyDescent="0.35">
      <c r="J5"/>
      <c r="K5"/>
    </row>
    <row r="6" spans="1:26" x14ac:dyDescent="0.35">
      <c r="J6"/>
      <c r="K6"/>
    </row>
    <row r="7" spans="1:26" x14ac:dyDescent="0.35">
      <c r="J7"/>
      <c r="K7"/>
    </row>
    <row r="8" spans="1:26" x14ac:dyDescent="0.35">
      <c r="J8"/>
      <c r="K8"/>
    </row>
    <row r="9" spans="1:26" x14ac:dyDescent="0.35">
      <c r="J9"/>
      <c r="K9"/>
    </row>
    <row r="10" spans="1:26" x14ac:dyDescent="0.35">
      <c r="J10"/>
      <c r="K10"/>
    </row>
    <row r="11" spans="1:26" x14ac:dyDescent="0.35">
      <c r="J11"/>
      <c r="K11"/>
    </row>
    <row r="12" spans="1:26" x14ac:dyDescent="0.35">
      <c r="J12" s="389"/>
      <c r="K12" s="389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J13" s="389"/>
      <c r="K13" s="389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J14" s="389"/>
      <c r="K14" s="389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J15" s="389"/>
      <c r="K15" s="389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J16" s="389"/>
      <c r="K16" s="389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0:26" x14ac:dyDescent="0.35">
      <c r="J17" s="389"/>
      <c r="K17" s="389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0:26" x14ac:dyDescent="0.35">
      <c r="J18" s="389"/>
      <c r="K18" s="389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0:26" x14ac:dyDescent="0.35">
      <c r="J19" s="389"/>
      <c r="K19" s="389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0:26" x14ac:dyDescent="0.35">
      <c r="J20" s="389"/>
      <c r="K20" s="38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0:26" x14ac:dyDescent="0.35">
      <c r="J21" s="389"/>
      <c r="K21" s="38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0:26" x14ac:dyDescent="0.35">
      <c r="J22" s="389"/>
      <c r="K22" s="38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0:26" x14ac:dyDescent="0.35">
      <c r="J23" s="389"/>
      <c r="K23" s="38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0:26" x14ac:dyDescent="0.35">
      <c r="J24" s="389"/>
      <c r="K24" s="38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0:26" x14ac:dyDescent="0.35">
      <c r="J25" s="389"/>
      <c r="K25" s="389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0:26" x14ac:dyDescent="0.35">
      <c r="J26" s="389"/>
      <c r="K26" s="389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0:26" x14ac:dyDescent="0.35">
      <c r="J27" s="389"/>
      <c r="K27" s="38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0:26" x14ac:dyDescent="0.35">
      <c r="J28" s="389"/>
      <c r="K28" s="389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0:26" x14ac:dyDescent="0.35">
      <c r="J29" s="389"/>
      <c r="K29" s="389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0:26" x14ac:dyDescent="0.35">
      <c r="J30" s="389"/>
      <c r="K30" s="389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0:26" x14ac:dyDescent="0.35">
      <c r="J31" s="389"/>
      <c r="K31" s="389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0:26" x14ac:dyDescent="0.35">
      <c r="J32" s="389"/>
      <c r="K32" s="389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0:26" x14ac:dyDescent="0.35">
      <c r="J33" s="389"/>
      <c r="K33" s="389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0:26" x14ac:dyDescent="0.35">
      <c r="J34" s="389"/>
      <c r="K34" s="389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0:26" x14ac:dyDescent="0.35">
      <c r="J35" s="389"/>
      <c r="K35" s="389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0:26" x14ac:dyDescent="0.35">
      <c r="J36" s="389"/>
      <c r="K36" s="389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0:26" x14ac:dyDescent="0.35">
      <c r="J37" s="389"/>
      <c r="K37" s="389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0:26" x14ac:dyDescent="0.35">
      <c r="J38" s="389"/>
      <c r="K38" s="389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0:26" x14ac:dyDescent="0.35">
      <c r="J39" s="389"/>
      <c r="K39" s="389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0:26" x14ac:dyDescent="0.35">
      <c r="J40" s="389"/>
      <c r="K40" s="389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0:26" x14ac:dyDescent="0.35">
      <c r="J41" s="389"/>
      <c r="K41" s="389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0:26" x14ac:dyDescent="0.35"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0:26" x14ac:dyDescent="0.35">
      <c r="J43" s="389"/>
      <c r="K43" s="389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0:26" x14ac:dyDescent="0.35">
      <c r="J44" s="389"/>
      <c r="K44" s="389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0:26" x14ac:dyDescent="0.35">
      <c r="J45" s="389"/>
      <c r="K45" s="389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0:26" x14ac:dyDescent="0.35">
      <c r="J46" s="389"/>
      <c r="K46" s="389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topLeftCell="A112" zoomScale="90" zoomScaleNormal="90" workbookViewId="0">
      <selection activeCell="A128" sqref="A128:F128"/>
    </sheetView>
  </sheetViews>
  <sheetFormatPr defaultRowHeight="14.5" x14ac:dyDescent="0.35"/>
  <cols>
    <col min="1" max="1" width="20" style="1" bestFit="1" customWidth="1"/>
    <col min="2" max="2" width="18.453125" style="1" bestFit="1" customWidth="1"/>
    <col min="3" max="3" width="68.1796875" bestFit="1" customWidth="1"/>
    <col min="4" max="4" width="8.7265625" style="1" bestFit="1" customWidth="1"/>
    <col min="5" max="5" width="12.453125" style="1" customWidth="1"/>
    <col min="6" max="6" width="18.26953125" style="354" customWidth="1"/>
    <col min="9" max="9" width="9.81640625" bestFit="1" customWidth="1"/>
    <col min="10" max="10" width="61.7265625" bestFit="1" customWidth="1"/>
    <col min="11" max="11" width="10.26953125" bestFit="1" customWidth="1"/>
    <col min="12" max="12" width="16.26953125" bestFit="1" customWidth="1"/>
    <col min="14" max="14" width="15.453125" bestFit="1" customWidth="1"/>
  </cols>
  <sheetData>
    <row r="1" spans="1:14" s="1" customFormat="1" x14ac:dyDescent="0.35">
      <c r="A1" s="1" t="s">
        <v>239</v>
      </c>
      <c r="B1" s="1" t="s">
        <v>306</v>
      </c>
      <c r="C1" s="1" t="s">
        <v>73</v>
      </c>
      <c r="D1" s="1" t="s">
        <v>74</v>
      </c>
      <c r="E1" s="91" t="s">
        <v>75</v>
      </c>
      <c r="F1" s="354" t="s">
        <v>76</v>
      </c>
      <c r="I1" s="370" t="s">
        <v>311</v>
      </c>
      <c r="J1"/>
      <c r="K1"/>
      <c r="L1" s="86"/>
      <c r="M1" s="355"/>
      <c r="N1" s="355"/>
    </row>
    <row r="2" spans="1:14" x14ac:dyDescent="0.35">
      <c r="C2" s="1"/>
      <c r="E2" s="91"/>
      <c r="F2" s="503"/>
      <c r="I2" t="s">
        <v>312</v>
      </c>
      <c r="J2" t="s">
        <v>313</v>
      </c>
      <c r="L2" s="86"/>
      <c r="M2" s="355"/>
      <c r="N2" s="355"/>
    </row>
    <row r="3" spans="1:14" x14ac:dyDescent="0.35">
      <c r="E3" s="91"/>
      <c r="I3" t="s">
        <v>314</v>
      </c>
      <c r="J3" t="s">
        <v>321</v>
      </c>
      <c r="L3" s="86"/>
      <c r="M3" s="355"/>
      <c r="N3" s="355"/>
    </row>
    <row r="4" spans="1:14" x14ac:dyDescent="0.35">
      <c r="A4"/>
      <c r="B4"/>
      <c r="D4"/>
      <c r="E4"/>
      <c r="I4" t="s">
        <v>315</v>
      </c>
      <c r="J4" t="s">
        <v>316</v>
      </c>
      <c r="L4" s="86"/>
      <c r="M4" s="355"/>
      <c r="N4" s="355"/>
    </row>
    <row r="5" spans="1:14" x14ac:dyDescent="0.35">
      <c r="A5"/>
      <c r="B5"/>
      <c r="D5"/>
      <c r="E5"/>
      <c r="L5" s="86"/>
      <c r="M5" s="355"/>
      <c r="N5" s="355"/>
    </row>
    <row r="6" spans="1:14" x14ac:dyDescent="0.35">
      <c r="A6"/>
      <c r="B6"/>
      <c r="D6"/>
      <c r="E6"/>
      <c r="L6" s="86"/>
      <c r="M6" s="355"/>
      <c r="N6" s="355"/>
    </row>
    <row r="7" spans="1:14" x14ac:dyDescent="0.35">
      <c r="A7"/>
      <c r="B7"/>
      <c r="D7"/>
      <c r="E7"/>
      <c r="L7" s="86"/>
      <c r="M7" s="355"/>
      <c r="N7" s="355"/>
    </row>
    <row r="8" spans="1:14" x14ac:dyDescent="0.35">
      <c r="A8"/>
      <c r="B8"/>
      <c r="D8"/>
      <c r="E8"/>
      <c r="L8" s="86"/>
      <c r="M8" s="355"/>
      <c r="N8" s="355"/>
    </row>
    <row r="9" spans="1:14" x14ac:dyDescent="0.35">
      <c r="A9"/>
      <c r="B9"/>
      <c r="D9"/>
      <c r="E9"/>
      <c r="L9" s="86"/>
      <c r="M9" s="355"/>
      <c r="N9" s="355"/>
    </row>
    <row r="10" spans="1:14" x14ac:dyDescent="0.35">
      <c r="A10"/>
      <c r="B10"/>
      <c r="D10"/>
      <c r="E10"/>
      <c r="L10" s="86"/>
      <c r="M10" s="355"/>
      <c r="N10" s="355"/>
    </row>
    <row r="11" spans="1:14" x14ac:dyDescent="0.35">
      <c r="A11"/>
      <c r="B11"/>
      <c r="D11"/>
      <c r="E11"/>
      <c r="L11" s="86"/>
      <c r="M11" s="355"/>
      <c r="N11" s="355"/>
    </row>
    <row r="12" spans="1:14" x14ac:dyDescent="0.35">
      <c r="A12"/>
      <c r="B12"/>
      <c r="D12"/>
      <c r="E12"/>
      <c r="L12" s="86"/>
      <c r="M12" s="355"/>
      <c r="N12" s="355"/>
    </row>
    <row r="13" spans="1:14" x14ac:dyDescent="0.35">
      <c r="A13"/>
      <c r="B13"/>
      <c r="D13"/>
      <c r="E13"/>
      <c r="L13" s="86"/>
      <c r="M13" s="355"/>
      <c r="N13" s="355"/>
    </row>
    <row r="14" spans="1:14" x14ac:dyDescent="0.35">
      <c r="A14"/>
      <c r="B14"/>
      <c r="D14"/>
      <c r="E14"/>
      <c r="L14" s="86"/>
      <c r="M14" s="355"/>
      <c r="N14" s="355"/>
    </row>
    <row r="15" spans="1:14" x14ac:dyDescent="0.35">
      <c r="A15"/>
      <c r="B15"/>
      <c r="D15"/>
      <c r="E15"/>
      <c r="L15" s="86"/>
      <c r="M15" s="355"/>
      <c r="N15" s="355"/>
    </row>
    <row r="16" spans="1:14" x14ac:dyDescent="0.35">
      <c r="A16"/>
      <c r="B16"/>
      <c r="D16"/>
      <c r="E16"/>
      <c r="L16" s="86"/>
      <c r="M16" s="355"/>
      <c r="N16" s="355"/>
    </row>
    <row r="17" spans="1:14" x14ac:dyDescent="0.35">
      <c r="A17"/>
      <c r="B17"/>
      <c r="D17"/>
      <c r="E17"/>
      <c r="L17" s="86"/>
      <c r="M17" s="355"/>
      <c r="N17" s="355"/>
    </row>
    <row r="18" spans="1:14" x14ac:dyDescent="0.35">
      <c r="A18"/>
      <c r="B18"/>
      <c r="D18"/>
      <c r="E18"/>
      <c r="L18" s="86"/>
      <c r="M18" s="355"/>
      <c r="N18" s="355"/>
    </row>
    <row r="19" spans="1:14" x14ac:dyDescent="0.35">
      <c r="A19"/>
      <c r="B19"/>
      <c r="D19"/>
      <c r="E19"/>
      <c r="L19" s="86"/>
      <c r="M19" s="355"/>
      <c r="N19" s="355"/>
    </row>
    <row r="20" spans="1:14" x14ac:dyDescent="0.35">
      <c r="A20"/>
      <c r="B20"/>
      <c r="D20"/>
      <c r="E20"/>
      <c r="L20" s="86"/>
      <c r="M20" s="355"/>
      <c r="N20" s="355"/>
    </row>
    <row r="21" spans="1:14" x14ac:dyDescent="0.35">
      <c r="A21"/>
      <c r="B21"/>
      <c r="D21"/>
      <c r="E21"/>
      <c r="L21" s="86"/>
      <c r="M21" s="355"/>
      <c r="N21" s="355"/>
    </row>
    <row r="22" spans="1:14" x14ac:dyDescent="0.35">
      <c r="A22"/>
      <c r="B22"/>
      <c r="D22"/>
      <c r="E22"/>
      <c r="L22" s="86"/>
      <c r="M22" s="355"/>
      <c r="N22" s="355"/>
    </row>
    <row r="23" spans="1:14" x14ac:dyDescent="0.35">
      <c r="A23"/>
      <c r="B23"/>
      <c r="D23"/>
      <c r="E23"/>
      <c r="L23" s="86"/>
      <c r="M23" s="355"/>
      <c r="N23" s="355"/>
    </row>
    <row r="24" spans="1:14" x14ac:dyDescent="0.35">
      <c r="A24"/>
      <c r="B24"/>
      <c r="D24"/>
      <c r="E24"/>
      <c r="L24" s="86"/>
      <c r="M24" s="355"/>
      <c r="N24" s="355"/>
    </row>
    <row r="25" spans="1:14" x14ac:dyDescent="0.35">
      <c r="L25" s="86"/>
      <c r="M25" s="355"/>
      <c r="N25" s="355"/>
    </row>
    <row r="26" spans="1:14" x14ac:dyDescent="0.35">
      <c r="L26" s="86"/>
      <c r="M26" s="355"/>
      <c r="N26" s="355"/>
    </row>
    <row r="27" spans="1:14" x14ac:dyDescent="0.35">
      <c r="L27" s="86"/>
      <c r="M27" s="355"/>
      <c r="N27" s="355"/>
    </row>
    <row r="28" spans="1:14" x14ac:dyDescent="0.35">
      <c r="L28" s="86"/>
      <c r="M28" s="355"/>
      <c r="N28" s="355"/>
    </row>
    <row r="29" spans="1:14" x14ac:dyDescent="0.35">
      <c r="L29" s="86"/>
      <c r="M29" s="355"/>
      <c r="N29" s="355"/>
    </row>
    <row r="30" spans="1:14" x14ac:dyDescent="0.35">
      <c r="L30" s="86"/>
      <c r="M30" s="355"/>
      <c r="N30" s="355"/>
    </row>
    <row r="31" spans="1:14" x14ac:dyDescent="0.35">
      <c r="L31" s="86"/>
      <c r="M31" s="355"/>
      <c r="N31" s="355"/>
    </row>
    <row r="32" spans="1:14" x14ac:dyDescent="0.35">
      <c r="L32" s="86"/>
      <c r="M32" s="355"/>
      <c r="N32" s="355"/>
    </row>
    <row r="33" spans="12:14" x14ac:dyDescent="0.35">
      <c r="L33" s="86"/>
      <c r="M33" s="355"/>
      <c r="N33" s="355"/>
    </row>
    <row r="34" spans="12:14" x14ac:dyDescent="0.35">
      <c r="L34" s="86"/>
      <c r="M34" s="355"/>
      <c r="N34" s="355"/>
    </row>
    <row r="35" spans="12:14" x14ac:dyDescent="0.35">
      <c r="L35" s="86"/>
      <c r="M35" s="355"/>
      <c r="N35" s="355"/>
    </row>
    <row r="36" spans="12:14" x14ac:dyDescent="0.35">
      <c r="L36" s="86"/>
      <c r="M36" s="355"/>
      <c r="N36" s="355"/>
    </row>
    <row r="37" spans="12:14" x14ac:dyDescent="0.35">
      <c r="L37" s="86"/>
      <c r="M37" s="355"/>
      <c r="N37" s="355"/>
    </row>
    <row r="38" spans="12:14" x14ac:dyDescent="0.35">
      <c r="L38" s="86"/>
      <c r="M38" s="355"/>
      <c r="N38" s="355"/>
    </row>
    <row r="39" spans="12:14" x14ac:dyDescent="0.35">
      <c r="L39" s="86"/>
      <c r="M39" s="355"/>
      <c r="N39" s="355"/>
    </row>
    <row r="40" spans="12:14" x14ac:dyDescent="0.35">
      <c r="L40" s="86"/>
      <c r="M40" s="355"/>
      <c r="N40" s="355"/>
    </row>
    <row r="41" spans="12:14" x14ac:dyDescent="0.35">
      <c r="L41" s="86"/>
      <c r="M41" s="355"/>
      <c r="N41" s="355"/>
    </row>
    <row r="42" spans="12:14" x14ac:dyDescent="0.35">
      <c r="L42" s="86"/>
      <c r="M42" s="355"/>
      <c r="N42" s="355"/>
    </row>
    <row r="43" spans="12:14" x14ac:dyDescent="0.35">
      <c r="L43" s="86"/>
      <c r="M43" s="355"/>
      <c r="N43" s="355"/>
    </row>
    <row r="44" spans="12:14" x14ac:dyDescent="0.35">
      <c r="L44" s="86"/>
      <c r="M44" s="355"/>
      <c r="N44" s="355"/>
    </row>
    <row r="45" spans="12:14" x14ac:dyDescent="0.35">
      <c r="L45" s="86"/>
      <c r="M45" s="355"/>
      <c r="N45" s="355"/>
    </row>
    <row r="46" spans="12:14" x14ac:dyDescent="0.35">
      <c r="L46" s="86"/>
      <c r="M46" s="355"/>
      <c r="N46" s="355"/>
    </row>
    <row r="47" spans="12:14" x14ac:dyDescent="0.35">
      <c r="L47" s="86"/>
      <c r="M47" s="355"/>
      <c r="N47" s="355"/>
    </row>
    <row r="48" spans="12:14" x14ac:dyDescent="0.35">
      <c r="L48" s="86"/>
      <c r="M48" s="355"/>
      <c r="N48" s="355"/>
    </row>
    <row r="49" spans="12:14" x14ac:dyDescent="0.35">
      <c r="L49" s="86"/>
      <c r="M49" s="355"/>
      <c r="N49" s="355"/>
    </row>
    <row r="50" spans="12:14" x14ac:dyDescent="0.35">
      <c r="L50" s="86"/>
      <c r="M50" s="355"/>
      <c r="N50" s="355"/>
    </row>
    <row r="51" spans="12:14" x14ac:dyDescent="0.35">
      <c r="L51" s="86"/>
      <c r="M51" s="355"/>
      <c r="N51" s="355"/>
    </row>
    <row r="52" spans="12:14" x14ac:dyDescent="0.35">
      <c r="L52" s="86"/>
      <c r="M52" s="355"/>
      <c r="N52" s="355"/>
    </row>
    <row r="53" spans="12:14" x14ac:dyDescent="0.35">
      <c r="L53" s="86"/>
      <c r="M53" s="355"/>
      <c r="N53" s="355"/>
    </row>
    <row r="54" spans="12:14" x14ac:dyDescent="0.35">
      <c r="L54" s="86"/>
      <c r="M54" s="355"/>
      <c r="N54" s="355"/>
    </row>
    <row r="55" spans="12:14" x14ac:dyDescent="0.35">
      <c r="L55" s="86"/>
      <c r="M55" s="355"/>
      <c r="N55" s="355"/>
    </row>
    <row r="56" spans="12:14" x14ac:dyDescent="0.35">
      <c r="L56" s="86"/>
      <c r="M56" s="355"/>
      <c r="N56" s="355"/>
    </row>
    <row r="57" spans="12:14" x14ac:dyDescent="0.35">
      <c r="L57" s="86"/>
      <c r="M57" s="355"/>
      <c r="N57" s="355"/>
    </row>
    <row r="58" spans="12:14" x14ac:dyDescent="0.35">
      <c r="L58" s="86"/>
      <c r="M58" s="355"/>
      <c r="N58" s="355"/>
    </row>
    <row r="59" spans="12:14" x14ac:dyDescent="0.35">
      <c r="L59" s="86"/>
      <c r="M59" s="355"/>
      <c r="N59" s="355"/>
    </row>
    <row r="60" spans="12:14" x14ac:dyDescent="0.35">
      <c r="L60" s="86"/>
      <c r="M60" s="355"/>
      <c r="N60" s="355"/>
    </row>
    <row r="61" spans="12:14" x14ac:dyDescent="0.35">
      <c r="L61" s="86"/>
      <c r="M61" s="355"/>
      <c r="N61" s="355"/>
    </row>
    <row r="62" spans="12:14" x14ac:dyDescent="0.35">
      <c r="L62" s="86"/>
      <c r="M62" s="355"/>
      <c r="N62" s="355"/>
    </row>
    <row r="63" spans="12:14" x14ac:dyDescent="0.35">
      <c r="L63" s="86"/>
      <c r="M63" s="355"/>
      <c r="N63" s="355"/>
    </row>
    <row r="64" spans="12:14" x14ac:dyDescent="0.35">
      <c r="L64" s="86"/>
      <c r="M64" s="355"/>
      <c r="N64" s="355"/>
    </row>
    <row r="65" spans="12:14" x14ac:dyDescent="0.35">
      <c r="L65" s="86"/>
      <c r="M65" s="355"/>
      <c r="N65" s="355"/>
    </row>
    <row r="66" spans="12:14" x14ac:dyDescent="0.35">
      <c r="L66" s="86"/>
      <c r="M66" s="355"/>
      <c r="N66" s="355"/>
    </row>
    <row r="67" spans="12:14" x14ac:dyDescent="0.35">
      <c r="L67" s="86"/>
      <c r="M67" s="355"/>
      <c r="N67" s="355"/>
    </row>
    <row r="68" spans="12:14" x14ac:dyDescent="0.35">
      <c r="L68" s="86"/>
      <c r="M68" s="355"/>
      <c r="N68" s="355"/>
    </row>
    <row r="69" spans="12:14" x14ac:dyDescent="0.35">
      <c r="L69" s="86"/>
      <c r="M69" s="355"/>
      <c r="N69" s="355"/>
    </row>
    <row r="70" spans="12:14" x14ac:dyDescent="0.35">
      <c r="L70" s="86"/>
      <c r="M70" s="355"/>
      <c r="N70" s="355"/>
    </row>
    <row r="71" spans="12:14" x14ac:dyDescent="0.35">
      <c r="L71" s="86"/>
      <c r="M71" s="355"/>
      <c r="N71" s="355"/>
    </row>
    <row r="72" spans="12:14" x14ac:dyDescent="0.35">
      <c r="L72" s="86"/>
      <c r="M72" s="355"/>
      <c r="N72" s="355"/>
    </row>
    <row r="73" spans="12:14" x14ac:dyDescent="0.35">
      <c r="L73" s="86"/>
      <c r="M73" s="355"/>
      <c r="N73" s="355"/>
    </row>
    <row r="74" spans="12:14" x14ac:dyDescent="0.35">
      <c r="L74" s="86"/>
      <c r="M74" s="355"/>
      <c r="N74" s="355"/>
    </row>
    <row r="75" spans="12:14" x14ac:dyDescent="0.35">
      <c r="L75" s="86"/>
      <c r="M75" s="355"/>
      <c r="N75" s="355"/>
    </row>
    <row r="76" spans="12:14" x14ac:dyDescent="0.35">
      <c r="L76" s="86"/>
      <c r="M76" s="355"/>
      <c r="N76" s="355"/>
    </row>
    <row r="77" spans="12:14" x14ac:dyDescent="0.35">
      <c r="L77" s="86"/>
      <c r="M77" s="355"/>
      <c r="N77" s="355"/>
    </row>
    <row r="78" spans="12:14" x14ac:dyDescent="0.35">
      <c r="L78" s="86"/>
      <c r="M78" s="355"/>
      <c r="N78" s="355"/>
    </row>
    <row r="79" spans="12:14" x14ac:dyDescent="0.35">
      <c r="L79" s="86"/>
      <c r="M79" s="355"/>
      <c r="N79" s="355"/>
    </row>
    <row r="80" spans="12:14" x14ac:dyDescent="0.35">
      <c r="L80" s="86"/>
      <c r="M80" s="355"/>
      <c r="N80" s="355"/>
    </row>
    <row r="81" spans="12:14" x14ac:dyDescent="0.35">
      <c r="L81" s="86"/>
      <c r="M81" s="355"/>
      <c r="N81" s="355"/>
    </row>
    <row r="82" spans="12:14" x14ac:dyDescent="0.35">
      <c r="L82" s="86"/>
      <c r="M82" s="355"/>
      <c r="N82" s="355"/>
    </row>
    <row r="83" spans="12:14" x14ac:dyDescent="0.35">
      <c r="L83" s="86"/>
      <c r="M83" s="355"/>
      <c r="N83" s="355"/>
    </row>
    <row r="84" spans="12:14" x14ac:dyDescent="0.35">
      <c r="L84" s="86"/>
      <c r="M84" s="355"/>
      <c r="N84" s="355"/>
    </row>
    <row r="85" spans="12:14" x14ac:dyDescent="0.35">
      <c r="L85" s="86"/>
      <c r="M85" s="355"/>
      <c r="N85" s="355"/>
    </row>
    <row r="86" spans="12:14" x14ac:dyDescent="0.35">
      <c r="L86" s="86"/>
      <c r="M86" s="355"/>
      <c r="N86" s="355"/>
    </row>
    <row r="87" spans="12:14" x14ac:dyDescent="0.35">
      <c r="L87" s="86"/>
      <c r="M87" s="355"/>
      <c r="N87" s="355"/>
    </row>
    <row r="88" spans="12:14" x14ac:dyDescent="0.35">
      <c r="L88" s="86"/>
      <c r="M88" s="355"/>
      <c r="N88" s="355"/>
    </row>
    <row r="89" spans="12:14" x14ac:dyDescent="0.35">
      <c r="L89" s="86"/>
      <c r="M89" s="355"/>
      <c r="N89" s="355"/>
    </row>
    <row r="90" spans="12:14" x14ac:dyDescent="0.35">
      <c r="L90" s="86"/>
      <c r="M90" s="355"/>
      <c r="N90" s="355"/>
    </row>
    <row r="91" spans="12:14" x14ac:dyDescent="0.35">
      <c r="L91" s="86"/>
      <c r="M91" s="355"/>
      <c r="N91" s="355"/>
    </row>
    <row r="92" spans="12:14" x14ac:dyDescent="0.35">
      <c r="L92" s="86"/>
      <c r="M92" s="355"/>
      <c r="N92" s="355"/>
    </row>
    <row r="93" spans="12:14" x14ac:dyDescent="0.35">
      <c r="L93" s="86"/>
      <c r="M93" s="355"/>
      <c r="N93" s="355"/>
    </row>
    <row r="94" spans="12:14" x14ac:dyDescent="0.35">
      <c r="L94" s="86"/>
      <c r="M94" s="355"/>
      <c r="N94" s="355"/>
    </row>
    <row r="95" spans="12:14" x14ac:dyDescent="0.35">
      <c r="L95" s="86"/>
      <c r="M95" s="355"/>
      <c r="N95" s="355"/>
    </row>
    <row r="96" spans="12:14" x14ac:dyDescent="0.35">
      <c r="L96" s="86"/>
      <c r="M96" s="355"/>
      <c r="N96" s="355"/>
    </row>
    <row r="97" spans="12:14" x14ac:dyDescent="0.35">
      <c r="L97" s="86"/>
      <c r="M97" s="355"/>
      <c r="N97" s="355"/>
    </row>
    <row r="98" spans="12:14" x14ac:dyDescent="0.35">
      <c r="L98" s="86"/>
      <c r="M98" s="355"/>
      <c r="N98" s="355"/>
    </row>
    <row r="99" spans="12:14" x14ac:dyDescent="0.35">
      <c r="L99" s="86"/>
      <c r="M99" s="355"/>
      <c r="N99" s="355"/>
    </row>
    <row r="100" spans="12:14" x14ac:dyDescent="0.35">
      <c r="L100" s="86"/>
      <c r="M100" s="355"/>
      <c r="N100" s="355"/>
    </row>
    <row r="101" spans="12:14" x14ac:dyDescent="0.35">
      <c r="L101" s="86"/>
      <c r="M101" s="355"/>
      <c r="N101" s="355"/>
    </row>
    <row r="102" spans="12:14" x14ac:dyDescent="0.35">
      <c r="L102" s="86"/>
      <c r="M102" s="355"/>
      <c r="N102" s="355"/>
    </row>
    <row r="103" spans="12:14" x14ac:dyDescent="0.35">
      <c r="L103" s="86"/>
      <c r="M103" s="355"/>
      <c r="N103" s="355"/>
    </row>
    <row r="104" spans="12:14" x14ac:dyDescent="0.35">
      <c r="L104" s="86"/>
      <c r="M104" s="355"/>
      <c r="N104" s="355"/>
    </row>
    <row r="105" spans="12:14" x14ac:dyDescent="0.35">
      <c r="L105" s="86"/>
      <c r="M105" s="355"/>
      <c r="N105" s="355"/>
    </row>
    <row r="106" spans="12:14" x14ac:dyDescent="0.35">
      <c r="L106" s="86"/>
      <c r="M106" s="355"/>
      <c r="N106" s="355"/>
    </row>
    <row r="107" spans="12:14" x14ac:dyDescent="0.35">
      <c r="L107" s="86"/>
      <c r="M107" s="355"/>
      <c r="N107" s="355"/>
    </row>
    <row r="108" spans="12:14" x14ac:dyDescent="0.35">
      <c r="L108" s="86"/>
      <c r="M108" s="355"/>
      <c r="N108" s="355"/>
    </row>
    <row r="109" spans="12:14" x14ac:dyDescent="0.35">
      <c r="L109" s="86"/>
      <c r="M109" s="355"/>
      <c r="N109" s="355"/>
    </row>
    <row r="110" spans="12:14" x14ac:dyDescent="0.35">
      <c r="L110" s="86"/>
      <c r="M110" s="355"/>
      <c r="N110" s="355"/>
    </row>
    <row r="111" spans="12:14" x14ac:dyDescent="0.35">
      <c r="L111" s="86"/>
      <c r="M111" s="355"/>
      <c r="N111" s="355"/>
    </row>
    <row r="112" spans="12:14" x14ac:dyDescent="0.35">
      <c r="L112" s="86"/>
      <c r="M112" s="355"/>
      <c r="N112" s="355"/>
    </row>
    <row r="113" spans="12:14" x14ac:dyDescent="0.35">
      <c r="L113" s="86"/>
      <c r="M113" s="355"/>
      <c r="N113" s="355"/>
    </row>
    <row r="114" spans="12:14" x14ac:dyDescent="0.35">
      <c r="L114" s="86"/>
      <c r="M114" s="355"/>
      <c r="N114" s="355"/>
    </row>
    <row r="115" spans="12:14" x14ac:dyDescent="0.35">
      <c r="L115" s="86"/>
      <c r="M115" s="355"/>
      <c r="N115" s="355"/>
    </row>
    <row r="116" spans="12:14" x14ac:dyDescent="0.35">
      <c r="L116" s="86"/>
      <c r="M116" s="355"/>
      <c r="N116" s="355"/>
    </row>
    <row r="117" spans="12:14" x14ac:dyDescent="0.35">
      <c r="L117" s="86"/>
      <c r="M117" s="355"/>
      <c r="N117" s="355"/>
    </row>
    <row r="118" spans="12:14" x14ac:dyDescent="0.35">
      <c r="L118" s="86"/>
      <c r="M118" s="355"/>
      <c r="N118" s="355"/>
    </row>
    <row r="119" spans="12:14" x14ac:dyDescent="0.35">
      <c r="L119" s="86"/>
      <c r="M119" s="355"/>
      <c r="N119" s="355"/>
    </row>
    <row r="120" spans="12:14" x14ac:dyDescent="0.35">
      <c r="L120" s="86"/>
      <c r="M120" s="355"/>
      <c r="N120" s="355"/>
    </row>
    <row r="121" spans="12:14" x14ac:dyDescent="0.35">
      <c r="L121" s="86"/>
      <c r="M121" s="355"/>
      <c r="N121" s="355"/>
    </row>
    <row r="122" spans="12:14" x14ac:dyDescent="0.35">
      <c r="L122" s="86"/>
      <c r="M122" s="355"/>
      <c r="N122" s="355"/>
    </row>
    <row r="123" spans="12:14" x14ac:dyDescent="0.35">
      <c r="L123" s="86"/>
      <c r="M123" s="355"/>
      <c r="N123" s="355"/>
    </row>
    <row r="124" spans="12:14" x14ac:dyDescent="0.35">
      <c r="L124" s="86"/>
      <c r="M124" s="355"/>
      <c r="N124" s="355"/>
    </row>
    <row r="125" spans="12:14" x14ac:dyDescent="0.35">
      <c r="L125" s="86"/>
      <c r="M125" s="355"/>
      <c r="N125" s="355"/>
    </row>
    <row r="126" spans="12:14" x14ac:dyDescent="0.35">
      <c r="L126" s="86"/>
      <c r="M126" s="355"/>
      <c r="N126" s="355"/>
    </row>
    <row r="127" spans="12:14" x14ac:dyDescent="0.35">
      <c r="L127" s="86"/>
      <c r="M127" s="355"/>
      <c r="N127" s="355"/>
    </row>
    <row r="128" spans="12:14" x14ac:dyDescent="0.35">
      <c r="L128" s="86"/>
      <c r="M128" s="355"/>
      <c r="N128" s="355"/>
    </row>
    <row r="129" spans="12:14" x14ac:dyDescent="0.35">
      <c r="L129" s="86"/>
      <c r="M129" s="355"/>
      <c r="N129" s="355"/>
    </row>
    <row r="130" spans="12:14" x14ac:dyDescent="0.35">
      <c r="L130" s="86"/>
      <c r="M130" s="355"/>
      <c r="N130" s="355"/>
    </row>
    <row r="131" spans="12:14" x14ac:dyDescent="0.35">
      <c r="L131" s="86"/>
      <c r="M131" s="355"/>
      <c r="N131" s="355"/>
    </row>
    <row r="132" spans="12:14" x14ac:dyDescent="0.35">
      <c r="L132" s="86"/>
      <c r="M132" s="355"/>
      <c r="N132" s="355"/>
    </row>
    <row r="133" spans="12:14" x14ac:dyDescent="0.35">
      <c r="L133" s="86"/>
      <c r="M133" s="355"/>
      <c r="N133" s="355"/>
    </row>
    <row r="134" spans="12:14" x14ac:dyDescent="0.35">
      <c r="L134" s="86"/>
      <c r="M134" s="355"/>
      <c r="N134" s="355"/>
    </row>
    <row r="135" spans="12:14" x14ac:dyDescent="0.35">
      <c r="L135" s="86"/>
      <c r="M135" s="355"/>
      <c r="N135" s="355"/>
    </row>
    <row r="136" spans="12:14" x14ac:dyDescent="0.35">
      <c r="L136" s="86"/>
      <c r="M136" s="355"/>
      <c r="N136" s="355"/>
    </row>
    <row r="137" spans="12:14" x14ac:dyDescent="0.35">
      <c r="L137" s="86"/>
      <c r="M137" s="355"/>
      <c r="N137" s="355"/>
    </row>
    <row r="138" spans="12:14" x14ac:dyDescent="0.35">
      <c r="L138" s="86"/>
      <c r="M138" s="355"/>
      <c r="N138" s="355"/>
    </row>
    <row r="139" spans="12:14" x14ac:dyDescent="0.35">
      <c r="L139" s="86"/>
      <c r="M139" s="355"/>
      <c r="N139" s="355"/>
    </row>
    <row r="140" spans="12:14" x14ac:dyDescent="0.35">
      <c r="L140" s="86"/>
      <c r="M140" s="355"/>
      <c r="N140" s="355"/>
    </row>
    <row r="141" spans="12:14" x14ac:dyDescent="0.35">
      <c r="L141" s="86"/>
      <c r="M141" s="355"/>
      <c r="N141" s="355"/>
    </row>
    <row r="142" spans="12:14" x14ac:dyDescent="0.35">
      <c r="L142" s="86"/>
      <c r="M142" s="355"/>
      <c r="N142" s="355"/>
    </row>
    <row r="143" spans="12:14" x14ac:dyDescent="0.35">
      <c r="L143" s="86"/>
      <c r="M143" s="355"/>
      <c r="N143" s="355"/>
    </row>
    <row r="144" spans="12:14" x14ac:dyDescent="0.35">
      <c r="L144" s="86"/>
      <c r="M144" s="355"/>
      <c r="N144" s="355"/>
    </row>
    <row r="145" spans="12:14" x14ac:dyDescent="0.35">
      <c r="L145" s="86"/>
      <c r="M145" s="355"/>
      <c r="N145" s="355"/>
    </row>
    <row r="146" spans="12:14" x14ac:dyDescent="0.35">
      <c r="L146" s="86"/>
      <c r="M146" s="355"/>
      <c r="N146" s="355"/>
    </row>
    <row r="147" spans="12:14" x14ac:dyDescent="0.35">
      <c r="L147" s="86"/>
      <c r="M147" s="355"/>
      <c r="N147" s="355"/>
    </row>
    <row r="148" spans="12:14" x14ac:dyDescent="0.35">
      <c r="L148" s="86"/>
      <c r="M148" s="355"/>
      <c r="N148" s="355"/>
    </row>
    <row r="149" spans="12:14" x14ac:dyDescent="0.35">
      <c r="L149" s="86"/>
      <c r="M149" s="355"/>
      <c r="N149" s="355"/>
    </row>
    <row r="150" spans="12:14" x14ac:dyDescent="0.35">
      <c r="L150" s="86"/>
      <c r="M150" s="355"/>
      <c r="N150" s="355"/>
    </row>
    <row r="151" spans="12:14" x14ac:dyDescent="0.35">
      <c r="L151" s="86"/>
      <c r="M151" s="355"/>
      <c r="N151" s="355"/>
    </row>
    <row r="152" spans="12:14" x14ac:dyDescent="0.35">
      <c r="L152" s="86"/>
      <c r="M152" s="355"/>
      <c r="N152" s="355"/>
    </row>
    <row r="153" spans="12:14" x14ac:dyDescent="0.35">
      <c r="L153" s="86"/>
      <c r="M153" s="355"/>
      <c r="N153" s="355"/>
    </row>
    <row r="154" spans="12:14" x14ac:dyDescent="0.35">
      <c r="L154" s="86"/>
      <c r="M154" s="355"/>
      <c r="N154" s="355"/>
    </row>
    <row r="155" spans="12:14" x14ac:dyDescent="0.35">
      <c r="L155" s="86"/>
      <c r="M155" s="355"/>
      <c r="N155" s="355"/>
    </row>
    <row r="156" spans="12:14" x14ac:dyDescent="0.35">
      <c r="L156" s="86"/>
      <c r="M156" s="355"/>
      <c r="N156" s="355"/>
    </row>
    <row r="157" spans="12:14" x14ac:dyDescent="0.35">
      <c r="L157" s="86"/>
      <c r="M157" s="355"/>
      <c r="N157" s="355"/>
    </row>
    <row r="158" spans="12:14" x14ac:dyDescent="0.35">
      <c r="L158" s="86"/>
      <c r="M158" s="355"/>
      <c r="N158" s="355"/>
    </row>
    <row r="159" spans="12:14" x14ac:dyDescent="0.35">
      <c r="L159" s="86"/>
      <c r="M159" s="355"/>
      <c r="N159" s="355"/>
    </row>
    <row r="160" spans="12:14" x14ac:dyDescent="0.35">
      <c r="L160" s="86"/>
      <c r="M160" s="355"/>
      <c r="N160" s="355"/>
    </row>
    <row r="161" spans="12:14" x14ac:dyDescent="0.35">
      <c r="L161" s="86"/>
      <c r="M161" s="355"/>
      <c r="N161" s="355"/>
    </row>
    <row r="162" spans="12:14" x14ac:dyDescent="0.35">
      <c r="L162" s="86"/>
      <c r="M162" s="355"/>
      <c r="N162" s="355"/>
    </row>
    <row r="163" spans="12:14" x14ac:dyDescent="0.35">
      <c r="L163" s="86"/>
      <c r="M163" s="355"/>
      <c r="N163" s="355"/>
    </row>
    <row r="164" spans="12:14" x14ac:dyDescent="0.35">
      <c r="L164" s="86"/>
      <c r="M164" s="355"/>
      <c r="N164" s="355"/>
    </row>
    <row r="165" spans="12:14" x14ac:dyDescent="0.35">
      <c r="L165" s="86"/>
      <c r="M165" s="355"/>
      <c r="N165" s="355"/>
    </row>
    <row r="166" spans="12:14" x14ac:dyDescent="0.35">
      <c r="L166" s="86"/>
      <c r="M166" s="355"/>
      <c r="N166" s="355"/>
    </row>
    <row r="167" spans="12:14" x14ac:dyDescent="0.35">
      <c r="L167" s="86"/>
      <c r="M167" s="355"/>
      <c r="N167" s="355"/>
    </row>
    <row r="168" spans="12:14" x14ac:dyDescent="0.35">
      <c r="L168" s="86"/>
      <c r="M168" s="355"/>
      <c r="N168" s="355"/>
    </row>
    <row r="169" spans="12:14" x14ac:dyDescent="0.35">
      <c r="L169" s="86"/>
      <c r="M169" s="355"/>
      <c r="N169" s="355"/>
    </row>
    <row r="170" spans="12:14" x14ac:dyDescent="0.35">
      <c r="L170" s="86"/>
      <c r="M170" s="355"/>
      <c r="N170" s="355"/>
    </row>
    <row r="171" spans="12:14" x14ac:dyDescent="0.35">
      <c r="L171" s="86"/>
      <c r="M171" s="355"/>
      <c r="N171" s="355"/>
    </row>
    <row r="172" spans="12:14" x14ac:dyDescent="0.35">
      <c r="L172" s="86"/>
      <c r="M172" s="355"/>
      <c r="N172" s="355"/>
    </row>
    <row r="173" spans="12:14" x14ac:dyDescent="0.35">
      <c r="L173" s="86"/>
      <c r="M173" s="355"/>
      <c r="N173" s="355"/>
    </row>
    <row r="174" spans="12:14" x14ac:dyDescent="0.35">
      <c r="L174" s="86"/>
      <c r="M174" s="355"/>
      <c r="N174" s="355"/>
    </row>
    <row r="175" spans="12:14" x14ac:dyDescent="0.35">
      <c r="L175" s="86"/>
      <c r="M175" s="355"/>
      <c r="N175" s="355"/>
    </row>
    <row r="176" spans="12:14" x14ac:dyDescent="0.35">
      <c r="L176" s="86"/>
      <c r="M176" s="355"/>
      <c r="N176" s="355"/>
    </row>
    <row r="177" spans="12:14" x14ac:dyDescent="0.35">
      <c r="L177" s="86"/>
      <c r="M177" s="355"/>
      <c r="N177" s="355"/>
    </row>
    <row r="178" spans="12:14" x14ac:dyDescent="0.35">
      <c r="L178" s="86"/>
      <c r="M178" s="355"/>
      <c r="N178" s="355"/>
    </row>
    <row r="179" spans="12:14" x14ac:dyDescent="0.35">
      <c r="L179" s="86"/>
      <c r="M179" s="355"/>
      <c r="N179" s="355"/>
    </row>
    <row r="180" spans="12:14" x14ac:dyDescent="0.35">
      <c r="L180" s="86"/>
      <c r="M180" s="355"/>
      <c r="N180" s="355"/>
    </row>
    <row r="181" spans="12:14" x14ac:dyDescent="0.35">
      <c r="L181" s="86"/>
      <c r="M181" s="355"/>
      <c r="N181" s="355"/>
    </row>
    <row r="182" spans="12:14" x14ac:dyDescent="0.35">
      <c r="L182" s="86"/>
      <c r="M182" s="355"/>
      <c r="N182" s="355"/>
    </row>
    <row r="183" spans="12:14" x14ac:dyDescent="0.35">
      <c r="L183" s="86"/>
      <c r="M183" s="355"/>
      <c r="N183" s="355"/>
    </row>
    <row r="184" spans="12:14" x14ac:dyDescent="0.35">
      <c r="L184" s="86"/>
      <c r="M184" s="355"/>
      <c r="N184" s="355"/>
    </row>
    <row r="185" spans="12:14" x14ac:dyDescent="0.35">
      <c r="L185" s="86"/>
      <c r="M185" s="355"/>
      <c r="N185" s="355"/>
    </row>
    <row r="186" spans="12:14" x14ac:dyDescent="0.35">
      <c r="L186" s="86"/>
      <c r="M186" s="355"/>
      <c r="N186" s="355"/>
    </row>
    <row r="187" spans="12:14" x14ac:dyDescent="0.35">
      <c r="L187" s="86"/>
      <c r="M187" s="355"/>
      <c r="N187" s="355"/>
    </row>
    <row r="188" spans="12:14" x14ac:dyDescent="0.35">
      <c r="L188" s="86"/>
      <c r="M188" s="355"/>
      <c r="N188" s="355"/>
    </row>
    <row r="189" spans="12:14" x14ac:dyDescent="0.35">
      <c r="L189" s="86"/>
      <c r="M189" s="355"/>
      <c r="N189" s="355"/>
    </row>
    <row r="190" spans="12:14" x14ac:dyDescent="0.35">
      <c r="L190" s="86"/>
      <c r="M190" s="355"/>
      <c r="N190" s="355"/>
    </row>
    <row r="191" spans="12:14" x14ac:dyDescent="0.35">
      <c r="L191" s="86"/>
      <c r="M191" s="355"/>
      <c r="N191" s="355"/>
    </row>
    <row r="192" spans="12:14" x14ac:dyDescent="0.35">
      <c r="L192" s="86"/>
      <c r="M192" s="355"/>
      <c r="N192" s="355"/>
    </row>
    <row r="193" spans="12:14" x14ac:dyDescent="0.35">
      <c r="L193" s="86"/>
      <c r="M193" s="355"/>
      <c r="N193" s="355"/>
    </row>
    <row r="194" spans="12:14" x14ac:dyDescent="0.35">
      <c r="L194" s="86"/>
      <c r="M194" s="355"/>
      <c r="N194" s="355"/>
    </row>
    <row r="195" spans="12:14" x14ac:dyDescent="0.35">
      <c r="L195" s="86"/>
      <c r="M195" s="355"/>
      <c r="N195" s="355"/>
    </row>
    <row r="196" spans="12:14" x14ac:dyDescent="0.35">
      <c r="L196" s="86"/>
      <c r="M196" s="355"/>
      <c r="N196" s="355"/>
    </row>
    <row r="197" spans="12:14" x14ac:dyDescent="0.35">
      <c r="L197" s="86"/>
      <c r="M197" s="355"/>
      <c r="N197" s="355"/>
    </row>
    <row r="198" spans="12:14" x14ac:dyDescent="0.35">
      <c r="L198" s="86"/>
      <c r="M198" s="355"/>
      <c r="N198" s="355"/>
    </row>
    <row r="199" spans="12:14" x14ac:dyDescent="0.35">
      <c r="L199" s="86"/>
      <c r="M199" s="355"/>
      <c r="N199" s="355"/>
    </row>
    <row r="200" spans="12:14" x14ac:dyDescent="0.35">
      <c r="L200" s="86"/>
      <c r="M200" s="355"/>
      <c r="N200" s="355"/>
    </row>
    <row r="201" spans="12:14" x14ac:dyDescent="0.35">
      <c r="L201" s="86"/>
      <c r="M201" s="355"/>
      <c r="N201" s="355"/>
    </row>
    <row r="202" spans="12:14" x14ac:dyDescent="0.35">
      <c r="L202" s="86"/>
      <c r="M202" s="355"/>
      <c r="N202" s="355"/>
    </row>
    <row r="203" spans="12:14" x14ac:dyDescent="0.35">
      <c r="L203" s="86"/>
      <c r="M203" s="355"/>
      <c r="N203" s="355"/>
    </row>
    <row r="204" spans="12:14" x14ac:dyDescent="0.35">
      <c r="L204" s="86"/>
      <c r="M204" s="355"/>
      <c r="N204" s="355"/>
    </row>
    <row r="205" spans="12:14" x14ac:dyDescent="0.35">
      <c r="L205" s="86"/>
      <c r="M205" s="355"/>
      <c r="N205" s="355"/>
    </row>
    <row r="206" spans="12:14" x14ac:dyDescent="0.35">
      <c r="L206" s="86"/>
      <c r="M206" s="355"/>
      <c r="N206" s="355"/>
    </row>
    <row r="207" spans="12:14" x14ac:dyDescent="0.35">
      <c r="L207" s="86"/>
      <c r="M207" s="355"/>
      <c r="N207" s="355"/>
    </row>
    <row r="208" spans="12:14" x14ac:dyDescent="0.35">
      <c r="L208" s="86"/>
      <c r="M208" s="355"/>
      <c r="N208" s="355"/>
    </row>
    <row r="209" spans="12:14" x14ac:dyDescent="0.35">
      <c r="L209" s="86"/>
      <c r="M209" s="355"/>
      <c r="N209" s="355"/>
    </row>
    <row r="210" spans="12:14" x14ac:dyDescent="0.35">
      <c r="L210" s="86"/>
      <c r="M210" s="355"/>
      <c r="N210" s="355"/>
    </row>
    <row r="211" spans="12:14" x14ac:dyDescent="0.35">
      <c r="L211" s="86"/>
      <c r="M211" s="355"/>
      <c r="N211" s="355"/>
    </row>
    <row r="212" spans="12:14" x14ac:dyDescent="0.35">
      <c r="L212" s="86"/>
      <c r="M212" s="355"/>
      <c r="N212" s="355"/>
    </row>
    <row r="213" spans="12:14" x14ac:dyDescent="0.35">
      <c r="L213" s="86"/>
      <c r="M213" s="355"/>
      <c r="N213" s="355"/>
    </row>
    <row r="214" spans="12:14" x14ac:dyDescent="0.35">
      <c r="L214" s="86"/>
      <c r="M214" s="355"/>
      <c r="N214" s="355"/>
    </row>
    <row r="215" spans="12:14" x14ac:dyDescent="0.35">
      <c r="L215" s="86"/>
      <c r="M215" s="355"/>
      <c r="N215" s="355"/>
    </row>
    <row r="216" spans="12:14" x14ac:dyDescent="0.35">
      <c r="L216" s="86"/>
      <c r="M216" s="355"/>
      <c r="N216" s="355"/>
    </row>
    <row r="217" spans="12:14" x14ac:dyDescent="0.35">
      <c r="L217" s="86"/>
      <c r="M217" s="355"/>
      <c r="N217" s="355"/>
    </row>
    <row r="218" spans="12:14" x14ac:dyDescent="0.35">
      <c r="L218" s="86"/>
      <c r="M218" s="355"/>
      <c r="N218" s="355"/>
    </row>
    <row r="219" spans="12:14" x14ac:dyDescent="0.35">
      <c r="L219" s="86"/>
      <c r="M219" s="355"/>
      <c r="N219" s="355"/>
    </row>
    <row r="220" spans="12:14" x14ac:dyDescent="0.35">
      <c r="L220" s="86"/>
      <c r="M220" s="355"/>
      <c r="N220" s="355"/>
    </row>
    <row r="221" spans="12:14" x14ac:dyDescent="0.35">
      <c r="L221" s="86"/>
      <c r="M221" s="355"/>
      <c r="N221" s="355"/>
    </row>
    <row r="222" spans="12:14" x14ac:dyDescent="0.35">
      <c r="L222" s="86"/>
      <c r="M222" s="355"/>
      <c r="N222" s="355"/>
    </row>
    <row r="223" spans="12:14" x14ac:dyDescent="0.35">
      <c r="L223" s="86"/>
      <c r="M223" s="355"/>
      <c r="N223" s="355"/>
    </row>
    <row r="224" spans="12:14" x14ac:dyDescent="0.35">
      <c r="L224" s="86"/>
      <c r="M224" s="355"/>
      <c r="N224" s="355"/>
    </row>
    <row r="225" spans="12:14" x14ac:dyDescent="0.35">
      <c r="L225" s="86"/>
      <c r="M225" s="355"/>
      <c r="N225" s="355"/>
    </row>
    <row r="226" spans="12:14" x14ac:dyDescent="0.35">
      <c r="L226" s="86"/>
      <c r="M226" s="355"/>
      <c r="N226" s="355"/>
    </row>
    <row r="227" spans="12:14" x14ac:dyDescent="0.35">
      <c r="L227" s="86"/>
      <c r="M227" s="355"/>
      <c r="N227" s="355"/>
    </row>
    <row r="228" spans="12:14" x14ac:dyDescent="0.35">
      <c r="L228" s="86"/>
      <c r="M228" s="355"/>
      <c r="N228" s="355"/>
    </row>
    <row r="229" spans="12:14" x14ac:dyDescent="0.35">
      <c r="L229" s="86"/>
      <c r="M229" s="355"/>
      <c r="N229" s="355"/>
    </row>
    <row r="230" spans="12:14" x14ac:dyDescent="0.35">
      <c r="L230" s="86"/>
      <c r="M230" s="355"/>
      <c r="N230" s="355"/>
    </row>
    <row r="231" spans="12:14" x14ac:dyDescent="0.35">
      <c r="L231" s="86"/>
      <c r="M231" s="355"/>
      <c r="N231" s="355"/>
    </row>
    <row r="232" spans="12:14" x14ac:dyDescent="0.35">
      <c r="L232" s="86"/>
      <c r="M232" s="355"/>
      <c r="N232" s="355"/>
    </row>
    <row r="233" spans="12:14" x14ac:dyDescent="0.35">
      <c r="L233" s="86"/>
      <c r="M233" s="355"/>
      <c r="N233" s="355"/>
    </row>
    <row r="234" spans="12:14" x14ac:dyDescent="0.35">
      <c r="L234" s="86"/>
      <c r="M234" s="355"/>
      <c r="N234" s="355"/>
    </row>
    <row r="235" spans="12:14" x14ac:dyDescent="0.35">
      <c r="L235" s="86"/>
      <c r="M235" s="355"/>
      <c r="N235" s="355"/>
    </row>
    <row r="236" spans="12:14" x14ac:dyDescent="0.35">
      <c r="L236" s="86"/>
      <c r="M236" s="355"/>
      <c r="N236" s="355"/>
    </row>
    <row r="237" spans="12:14" x14ac:dyDescent="0.35">
      <c r="L237" s="86"/>
      <c r="M237" s="355"/>
      <c r="N237" s="355"/>
    </row>
    <row r="238" spans="12:14" x14ac:dyDescent="0.35">
      <c r="L238" s="86"/>
      <c r="M238" s="355"/>
      <c r="N238" s="355"/>
    </row>
    <row r="239" spans="12:14" x14ac:dyDescent="0.35">
      <c r="L239" s="86"/>
      <c r="M239" s="355"/>
      <c r="N239" s="355"/>
    </row>
    <row r="240" spans="12:14" x14ac:dyDescent="0.35">
      <c r="L240" s="86"/>
      <c r="M240" s="355"/>
      <c r="N240" s="355"/>
    </row>
    <row r="241" spans="12:14" x14ac:dyDescent="0.35">
      <c r="L241" s="86"/>
      <c r="M241" s="355"/>
      <c r="N241" s="355"/>
    </row>
    <row r="242" spans="12:14" x14ac:dyDescent="0.35">
      <c r="L242" s="86"/>
      <c r="M242" s="355"/>
      <c r="N242" s="355"/>
    </row>
    <row r="243" spans="12:14" x14ac:dyDescent="0.35">
      <c r="L243" s="86"/>
      <c r="M243" s="355"/>
      <c r="N243" s="355"/>
    </row>
    <row r="244" spans="12:14" x14ac:dyDescent="0.35">
      <c r="L244" s="86"/>
      <c r="M244" s="355"/>
      <c r="N244" s="355"/>
    </row>
    <row r="245" spans="12:14" x14ac:dyDescent="0.35">
      <c r="L245" s="86"/>
      <c r="M245" s="355"/>
      <c r="N245" s="355"/>
    </row>
    <row r="246" spans="12:14" x14ac:dyDescent="0.35">
      <c r="L246" s="86"/>
      <c r="M246" s="355"/>
      <c r="N246" s="355"/>
    </row>
    <row r="247" spans="12:14" x14ac:dyDescent="0.35">
      <c r="L247" s="86"/>
      <c r="M247" s="355"/>
      <c r="N247" s="355"/>
    </row>
    <row r="248" spans="12:14" x14ac:dyDescent="0.35">
      <c r="L248" s="86"/>
      <c r="M248" s="355"/>
      <c r="N248" s="355"/>
    </row>
    <row r="249" spans="12:14" x14ac:dyDescent="0.35">
      <c r="L249" s="86"/>
      <c r="M249" s="355"/>
      <c r="N249" s="355"/>
    </row>
    <row r="250" spans="12:14" x14ac:dyDescent="0.35">
      <c r="L250" s="86"/>
      <c r="M250" s="355"/>
      <c r="N250" s="355"/>
    </row>
    <row r="251" spans="12:14" x14ac:dyDescent="0.35">
      <c r="L251" s="86"/>
      <c r="M251" s="355"/>
      <c r="N251" s="355"/>
    </row>
    <row r="252" spans="12:14" x14ac:dyDescent="0.35">
      <c r="L252" s="86"/>
      <c r="M252" s="355"/>
      <c r="N252" s="355"/>
    </row>
    <row r="253" spans="12:14" x14ac:dyDescent="0.35">
      <c r="L253" s="86"/>
      <c r="M253" s="355"/>
      <c r="N253" s="355"/>
    </row>
    <row r="254" spans="12:14" x14ac:dyDescent="0.35">
      <c r="L254" s="86"/>
      <c r="M254" s="355"/>
      <c r="N254" s="355"/>
    </row>
    <row r="255" spans="12:14" x14ac:dyDescent="0.35">
      <c r="L255" s="86"/>
      <c r="M255" s="355"/>
      <c r="N255" s="355"/>
    </row>
    <row r="256" spans="12:14" x14ac:dyDescent="0.35">
      <c r="L256" s="86"/>
      <c r="M256" s="355"/>
      <c r="N256" s="355"/>
    </row>
    <row r="257" spans="12:14" x14ac:dyDescent="0.35">
      <c r="L257" s="86"/>
      <c r="M257" s="355"/>
      <c r="N257" s="355"/>
    </row>
    <row r="258" spans="12:14" x14ac:dyDescent="0.35">
      <c r="L258" s="86"/>
      <c r="M258" s="355"/>
      <c r="N258" s="355"/>
    </row>
    <row r="259" spans="12:14" x14ac:dyDescent="0.35">
      <c r="L259" s="86"/>
      <c r="M259" s="355"/>
      <c r="N259" s="355"/>
    </row>
    <row r="260" spans="12:14" x14ac:dyDescent="0.35">
      <c r="L260" s="86"/>
      <c r="M260" s="355"/>
      <c r="N260" s="355"/>
    </row>
    <row r="261" spans="12:14" x14ac:dyDescent="0.35">
      <c r="L261" s="86"/>
      <c r="M261" s="355"/>
      <c r="N261" s="355"/>
    </row>
    <row r="262" spans="12:14" x14ac:dyDescent="0.35">
      <c r="L262" s="86"/>
      <c r="M262" s="355"/>
      <c r="N262" s="355"/>
    </row>
    <row r="263" spans="12:14" x14ac:dyDescent="0.35">
      <c r="L263" s="86"/>
      <c r="M263" s="355"/>
      <c r="N263" s="355"/>
    </row>
    <row r="264" spans="12:14" x14ac:dyDescent="0.35">
      <c r="L264" s="86"/>
      <c r="M264" s="355"/>
      <c r="N264" s="355"/>
    </row>
    <row r="265" spans="12:14" x14ac:dyDescent="0.35">
      <c r="L265" s="86"/>
      <c r="M265" s="355"/>
      <c r="N265" s="355"/>
    </row>
    <row r="266" spans="12:14" x14ac:dyDescent="0.35">
      <c r="L266" s="86"/>
      <c r="M266" s="355"/>
      <c r="N266" s="355"/>
    </row>
    <row r="267" spans="12:14" x14ac:dyDescent="0.35">
      <c r="L267" s="86"/>
      <c r="M267" s="355"/>
      <c r="N267" s="355"/>
    </row>
    <row r="268" spans="12:14" x14ac:dyDescent="0.35">
      <c r="L268" s="86"/>
      <c r="M268" s="355"/>
      <c r="N268" s="355"/>
    </row>
    <row r="269" spans="12:14" x14ac:dyDescent="0.35">
      <c r="L269" s="86"/>
      <c r="M269" s="355"/>
      <c r="N269" s="355"/>
    </row>
    <row r="270" spans="12:14" x14ac:dyDescent="0.35">
      <c r="L270" s="86"/>
      <c r="M270" s="355"/>
      <c r="N270" s="355"/>
    </row>
    <row r="271" spans="12:14" x14ac:dyDescent="0.35">
      <c r="L271" s="86"/>
      <c r="M271" s="355"/>
      <c r="N271" s="355"/>
    </row>
    <row r="272" spans="12:14" x14ac:dyDescent="0.35">
      <c r="L272" s="86"/>
      <c r="M272" s="355"/>
      <c r="N272" s="355"/>
    </row>
    <row r="273" spans="12:14" x14ac:dyDescent="0.35">
      <c r="L273" s="86"/>
      <c r="M273" s="355"/>
      <c r="N273" s="355"/>
    </row>
    <row r="274" spans="12:14" x14ac:dyDescent="0.35">
      <c r="L274" s="86"/>
      <c r="M274" s="355"/>
      <c r="N274" s="355"/>
    </row>
    <row r="275" spans="12:14" x14ac:dyDescent="0.35">
      <c r="L275" s="86"/>
      <c r="M275" s="355"/>
      <c r="N275" s="355"/>
    </row>
    <row r="276" spans="12:14" x14ac:dyDescent="0.35">
      <c r="L276" s="86"/>
      <c r="M276" s="355"/>
      <c r="N276" s="355"/>
    </row>
    <row r="277" spans="12:14" x14ac:dyDescent="0.35">
      <c r="L277" s="86"/>
      <c r="M277" s="355"/>
      <c r="N277" s="355"/>
    </row>
    <row r="278" spans="12:14" x14ac:dyDescent="0.35">
      <c r="L278" s="86"/>
      <c r="M278" s="355"/>
      <c r="N278" s="355"/>
    </row>
    <row r="279" spans="12:14" x14ac:dyDescent="0.35">
      <c r="L279" s="86"/>
      <c r="M279" s="355"/>
      <c r="N279" s="355"/>
    </row>
    <row r="280" spans="12:14" x14ac:dyDescent="0.35">
      <c r="L280" s="86"/>
      <c r="M280" s="355"/>
      <c r="N280" s="355"/>
    </row>
    <row r="281" spans="12:14" x14ac:dyDescent="0.35">
      <c r="L281" s="86"/>
      <c r="M281" s="355"/>
      <c r="N281" s="355"/>
    </row>
    <row r="282" spans="12:14" x14ac:dyDescent="0.35">
      <c r="L282" s="86"/>
      <c r="M282" s="355"/>
      <c r="N282" s="355"/>
    </row>
    <row r="283" spans="12:14" x14ac:dyDescent="0.35">
      <c r="L283" s="86"/>
      <c r="M283" s="355"/>
      <c r="N283" s="355"/>
    </row>
    <row r="284" spans="12:14" x14ac:dyDescent="0.35">
      <c r="L284" s="86"/>
      <c r="M284" s="355"/>
      <c r="N284" s="355"/>
    </row>
    <row r="285" spans="12:14" x14ac:dyDescent="0.35">
      <c r="L285" s="86"/>
      <c r="M285" s="355"/>
      <c r="N285" s="355"/>
    </row>
    <row r="286" spans="12:14" x14ac:dyDescent="0.35">
      <c r="L286" s="86"/>
      <c r="M286" s="355"/>
      <c r="N286" s="355"/>
    </row>
    <row r="287" spans="12:14" x14ac:dyDescent="0.35">
      <c r="L287" s="86"/>
      <c r="M287" s="355"/>
      <c r="N287" s="355"/>
    </row>
    <row r="288" spans="12:14" x14ac:dyDescent="0.35">
      <c r="L288" s="86"/>
      <c r="M288" s="355"/>
      <c r="N288" s="355"/>
    </row>
    <row r="289" spans="12:14" x14ac:dyDescent="0.35">
      <c r="L289" s="86"/>
      <c r="M289" s="355"/>
      <c r="N289" s="355"/>
    </row>
    <row r="290" spans="12:14" x14ac:dyDescent="0.35">
      <c r="L290" s="86"/>
      <c r="M290" s="355"/>
      <c r="N290" s="355"/>
    </row>
    <row r="291" spans="12:14" x14ac:dyDescent="0.35">
      <c r="L291" s="86"/>
      <c r="M291" s="355"/>
      <c r="N291" s="355"/>
    </row>
    <row r="292" spans="12:14" x14ac:dyDescent="0.35">
      <c r="L292" s="86"/>
      <c r="M292" s="355"/>
      <c r="N292" s="355"/>
    </row>
    <row r="293" spans="12:14" x14ac:dyDescent="0.35">
      <c r="L293" s="86"/>
      <c r="M293" s="355"/>
      <c r="N293" s="355"/>
    </row>
    <row r="294" spans="12:14" x14ac:dyDescent="0.35">
      <c r="L294" s="86"/>
      <c r="M294" s="355"/>
      <c r="N294" s="355"/>
    </row>
    <row r="295" spans="12:14" x14ac:dyDescent="0.35">
      <c r="L295" s="86"/>
      <c r="M295" s="355"/>
      <c r="N295" s="355"/>
    </row>
    <row r="296" spans="12:14" x14ac:dyDescent="0.35">
      <c r="L296" s="86"/>
      <c r="M296" s="355"/>
      <c r="N296" s="355"/>
    </row>
    <row r="297" spans="12:14" x14ac:dyDescent="0.35">
      <c r="L297" s="86"/>
      <c r="M297" s="355"/>
      <c r="N297" s="355"/>
    </row>
    <row r="298" spans="12:14" x14ac:dyDescent="0.35">
      <c r="L298" s="86"/>
      <c r="M298" s="355"/>
      <c r="N298" s="355"/>
    </row>
    <row r="299" spans="12:14" x14ac:dyDescent="0.35">
      <c r="L299" s="86"/>
      <c r="M299" s="355"/>
      <c r="N299" s="355"/>
    </row>
    <row r="300" spans="12:14" x14ac:dyDescent="0.35">
      <c r="L300" s="86"/>
      <c r="M300" s="355"/>
      <c r="N300" s="355"/>
    </row>
    <row r="301" spans="12:14" x14ac:dyDescent="0.35">
      <c r="L301" s="86"/>
      <c r="M301" s="355"/>
      <c r="N301" s="355"/>
    </row>
    <row r="302" spans="12:14" x14ac:dyDescent="0.35">
      <c r="L302" s="86"/>
      <c r="M302" s="355"/>
      <c r="N302" s="355"/>
    </row>
    <row r="303" spans="12:14" x14ac:dyDescent="0.35">
      <c r="L303" s="86"/>
      <c r="M303" s="355"/>
      <c r="N303" s="355"/>
    </row>
    <row r="304" spans="12:14" x14ac:dyDescent="0.35">
      <c r="L304" s="86"/>
      <c r="M304" s="355"/>
      <c r="N304" s="355"/>
    </row>
    <row r="305" spans="12:14" x14ac:dyDescent="0.35">
      <c r="L305" s="86"/>
      <c r="M305" s="355"/>
      <c r="N305" s="355"/>
    </row>
    <row r="306" spans="12:14" x14ac:dyDescent="0.35">
      <c r="L306" s="86"/>
      <c r="M306" s="355"/>
      <c r="N306" s="355"/>
    </row>
    <row r="307" spans="12:14" x14ac:dyDescent="0.35">
      <c r="L307" s="86"/>
      <c r="M307" s="355"/>
      <c r="N307" s="355"/>
    </row>
    <row r="308" spans="12:14" x14ac:dyDescent="0.35">
      <c r="L308" s="86"/>
      <c r="M308" s="355"/>
      <c r="N308" s="355"/>
    </row>
    <row r="309" spans="12:14" x14ac:dyDescent="0.35">
      <c r="L309" s="86"/>
      <c r="M309" s="355"/>
      <c r="N309" s="355"/>
    </row>
    <row r="310" spans="12:14" x14ac:dyDescent="0.35">
      <c r="L310" s="86"/>
      <c r="M310" s="355"/>
      <c r="N310" s="355"/>
    </row>
    <row r="311" spans="12:14" x14ac:dyDescent="0.35">
      <c r="L311" s="86"/>
      <c r="M311" s="355"/>
      <c r="N311" s="355"/>
    </row>
    <row r="312" spans="12:14" x14ac:dyDescent="0.35">
      <c r="L312" s="86"/>
      <c r="M312" s="355"/>
      <c r="N312" s="355"/>
    </row>
    <row r="313" spans="12:14" x14ac:dyDescent="0.35">
      <c r="L313" s="86"/>
      <c r="M313" s="355"/>
      <c r="N313" s="355"/>
    </row>
  </sheetData>
  <conditionalFormatting sqref="A3:A1048576 A1">
    <cfRule type="duplicateValues" dxfId="75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2"/>
  <sheetViews>
    <sheetView workbookViewId="0">
      <selection activeCell="A2" sqref="A2:D4"/>
    </sheetView>
  </sheetViews>
  <sheetFormatPr defaultRowHeight="14.5" x14ac:dyDescent="0.35"/>
  <cols>
    <col min="1" max="1" width="28.54296875" style="392" customWidth="1"/>
    <col min="2" max="2" width="59.1796875" customWidth="1"/>
    <col min="3" max="3" width="43.1796875" customWidth="1"/>
    <col min="4" max="4" width="31.453125" customWidth="1"/>
  </cols>
  <sheetData>
    <row r="1" spans="1:4" s="1" customFormat="1" x14ac:dyDescent="0.35">
      <c r="A1" s="392" t="s">
        <v>346</v>
      </c>
      <c r="B1" s="392" t="s">
        <v>347</v>
      </c>
      <c r="C1" s="392" t="s">
        <v>348</v>
      </c>
      <c r="D1" s="392" t="s">
        <v>349</v>
      </c>
    </row>
    <row r="2" spans="1:4" x14ac:dyDescent="0.35">
      <c r="B2" s="392"/>
      <c r="C2" s="392"/>
      <c r="D2" s="392"/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T82"/>
  <sheetViews>
    <sheetView workbookViewId="0">
      <selection activeCell="J4" sqref="J4"/>
    </sheetView>
  </sheetViews>
  <sheetFormatPr defaultColWidth="8.7265625" defaultRowHeight="14.5" x14ac:dyDescent="0.35"/>
  <cols>
    <col min="1" max="1" width="26" style="51" bestFit="1" customWidth="1"/>
    <col min="2" max="2" width="14.81640625" bestFit="1" customWidth="1"/>
    <col min="3" max="3" width="8.7265625" customWidth="1"/>
    <col min="4" max="4" width="13.26953125" style="1" customWidth="1"/>
    <col min="5" max="5" width="12.26953125" style="1" bestFit="1" customWidth="1"/>
    <col min="6" max="6" width="11.54296875" style="1" bestFit="1" customWidth="1"/>
    <col min="7" max="7" width="15.54296875" style="1" bestFit="1" customWidth="1"/>
    <col min="8" max="8" width="21" style="1" bestFit="1" customWidth="1"/>
    <col min="9" max="9" width="17" style="1" bestFit="1" customWidth="1"/>
    <col min="10" max="10" width="22.54296875" style="1" bestFit="1" customWidth="1"/>
    <col min="11" max="11" width="17" style="1" bestFit="1" customWidth="1"/>
    <col min="12" max="12" width="22.54296875" style="1" bestFit="1" customWidth="1"/>
    <col min="13" max="13" width="17" style="1" bestFit="1" customWidth="1"/>
    <col min="14" max="14" width="22.54296875" style="1" bestFit="1" customWidth="1"/>
    <col min="15" max="15" width="17" style="1" bestFit="1" customWidth="1"/>
    <col min="16" max="16" width="22.54296875" style="1" bestFit="1" customWidth="1"/>
    <col min="17" max="17" width="16.26953125" style="1" bestFit="1" customWidth="1"/>
    <col min="18" max="18" width="21.54296875" style="1" bestFit="1" customWidth="1"/>
    <col min="19" max="19" width="16.26953125" style="1" bestFit="1" customWidth="1"/>
    <col min="20" max="20" width="21.54296875" style="1" bestFit="1" customWidth="1"/>
    <col min="21" max="22" width="8.81640625" style="1" customWidth="1"/>
    <col min="23" max="16384" width="8.7265625" style="1"/>
  </cols>
  <sheetData>
    <row r="1" spans="1:20" s="475" customFormat="1" x14ac:dyDescent="0.35">
      <c r="A1" s="99" t="s">
        <v>363</v>
      </c>
      <c r="B1" s="370" t="s">
        <v>364</v>
      </c>
      <c r="C1" s="370"/>
      <c r="D1" s="475" t="s">
        <v>18</v>
      </c>
      <c r="E1" s="475" t="s">
        <v>17</v>
      </c>
      <c r="F1" s="475" t="s">
        <v>350</v>
      </c>
      <c r="G1" s="475" t="s">
        <v>396</v>
      </c>
      <c r="H1" s="475" t="s">
        <v>397</v>
      </c>
      <c r="I1" s="475" t="s">
        <v>521</v>
      </c>
      <c r="J1" s="475" t="s">
        <v>522</v>
      </c>
      <c r="K1" s="475" t="s">
        <v>523</v>
      </c>
      <c r="L1" s="475" t="s">
        <v>524</v>
      </c>
      <c r="M1" s="475" t="s">
        <v>525</v>
      </c>
      <c r="N1" s="475" t="s">
        <v>526</v>
      </c>
      <c r="O1" s="475" t="s">
        <v>527</v>
      </c>
      <c r="P1" s="475" t="s">
        <v>528</v>
      </c>
      <c r="Q1" s="475" t="s">
        <v>529</v>
      </c>
      <c r="R1" s="475" t="s">
        <v>530</v>
      </c>
      <c r="S1" s="475" t="s">
        <v>531</v>
      </c>
      <c r="T1" s="475" t="s">
        <v>532</v>
      </c>
    </row>
    <row r="2" spans="1:20" x14ac:dyDescent="0.35">
      <c r="A2" s="51" t="s">
        <v>396</v>
      </c>
      <c r="B2">
        <v>41</v>
      </c>
      <c r="C2" s="3"/>
      <c r="D2" s="1" t="s">
        <v>490</v>
      </c>
      <c r="E2" s="1" t="s">
        <v>482</v>
      </c>
      <c r="F2" s="1" t="s">
        <v>482</v>
      </c>
      <c r="G2" s="1" t="s">
        <v>482</v>
      </c>
      <c r="H2" s="1">
        <v>0.55000000000000004</v>
      </c>
      <c r="I2" s="1" t="s">
        <v>482</v>
      </c>
      <c r="J2" s="1">
        <v>0.45</v>
      </c>
      <c r="K2" s="1" t="s">
        <v>466</v>
      </c>
      <c r="L2" s="1">
        <v>0.55000000000000004</v>
      </c>
      <c r="M2" s="1" t="s">
        <v>470</v>
      </c>
      <c r="N2" s="1">
        <v>0.45</v>
      </c>
      <c r="O2" s="1" t="s">
        <v>490</v>
      </c>
      <c r="P2" s="1">
        <v>0.4</v>
      </c>
      <c r="Q2" s="1" t="s">
        <v>491</v>
      </c>
      <c r="R2" s="1">
        <v>0.4</v>
      </c>
      <c r="S2" s="1" t="s">
        <v>446</v>
      </c>
      <c r="T2" s="1">
        <v>1</v>
      </c>
    </row>
    <row r="3" spans="1:20" x14ac:dyDescent="0.35">
      <c r="A3" s="51" t="s">
        <v>521</v>
      </c>
      <c r="B3">
        <v>23</v>
      </c>
      <c r="C3" s="3"/>
      <c r="D3" s="1" t="s">
        <v>458</v>
      </c>
      <c r="E3" s="1" t="s">
        <v>483</v>
      </c>
      <c r="F3" s="1" t="s">
        <v>483</v>
      </c>
      <c r="G3" s="1" t="s">
        <v>483</v>
      </c>
      <c r="H3" s="1">
        <v>0.55000000000000004</v>
      </c>
      <c r="I3" s="1" t="s">
        <v>483</v>
      </c>
      <c r="J3" s="1">
        <v>0.45</v>
      </c>
      <c r="K3" s="1" t="s">
        <v>467</v>
      </c>
      <c r="L3" s="1">
        <v>0.55000000000000004</v>
      </c>
      <c r="M3" s="1" t="s">
        <v>471</v>
      </c>
      <c r="N3" s="1">
        <v>0.45</v>
      </c>
      <c r="O3" s="1" t="s">
        <v>458</v>
      </c>
      <c r="P3" s="1">
        <v>1</v>
      </c>
      <c r="Q3" s="1" t="s">
        <v>462</v>
      </c>
      <c r="R3" s="1">
        <v>1</v>
      </c>
      <c r="S3" s="1" t="s">
        <v>447</v>
      </c>
      <c r="T3" s="1">
        <v>1</v>
      </c>
    </row>
    <row r="4" spans="1:20" x14ac:dyDescent="0.35">
      <c r="A4" s="51" t="s">
        <v>523</v>
      </c>
      <c r="B4">
        <v>33</v>
      </c>
      <c r="C4" s="3"/>
      <c r="D4" s="1" t="s">
        <v>459</v>
      </c>
      <c r="E4" s="1" t="s">
        <v>484</v>
      </c>
      <c r="F4" s="1" t="s">
        <v>484</v>
      </c>
      <c r="G4" s="1" t="s">
        <v>484</v>
      </c>
      <c r="H4" s="1">
        <v>0.55000000000000004</v>
      </c>
      <c r="I4" s="1" t="s">
        <v>484</v>
      </c>
      <c r="J4" s="1">
        <v>0.45</v>
      </c>
      <c r="K4" s="1" t="s">
        <v>468</v>
      </c>
      <c r="L4" s="1">
        <v>0.55000000000000004</v>
      </c>
      <c r="M4" s="1" t="s">
        <v>472</v>
      </c>
      <c r="N4" s="1">
        <v>0.45</v>
      </c>
      <c r="O4" s="1" t="s">
        <v>459</v>
      </c>
      <c r="P4" s="1">
        <v>1</v>
      </c>
      <c r="Q4" s="1" t="s">
        <v>463</v>
      </c>
      <c r="R4" s="1">
        <v>1</v>
      </c>
      <c r="S4" s="1" t="s">
        <v>448</v>
      </c>
      <c r="T4" s="1">
        <v>1</v>
      </c>
    </row>
    <row r="5" spans="1:20" x14ac:dyDescent="0.35">
      <c r="A5" s="51" t="s">
        <v>525</v>
      </c>
      <c r="B5">
        <v>19</v>
      </c>
      <c r="C5" s="3"/>
      <c r="D5" s="1" t="s">
        <v>460</v>
      </c>
      <c r="E5" s="1" t="s">
        <v>485</v>
      </c>
      <c r="F5" s="1" t="s">
        <v>485</v>
      </c>
      <c r="G5" s="1" t="s">
        <v>485</v>
      </c>
      <c r="H5" s="1">
        <v>0.55000000000000004</v>
      </c>
      <c r="I5" s="1" t="s">
        <v>485</v>
      </c>
      <c r="J5" s="1">
        <v>0.45</v>
      </c>
      <c r="K5" s="1" t="s">
        <v>469</v>
      </c>
      <c r="L5" s="1">
        <v>0.55000000000000004</v>
      </c>
      <c r="M5" s="1" t="s">
        <v>473</v>
      </c>
      <c r="N5" s="1">
        <v>0.45</v>
      </c>
      <c r="O5" s="1" t="s">
        <v>460</v>
      </c>
      <c r="P5" s="1">
        <v>1</v>
      </c>
      <c r="Q5" s="1" t="s">
        <v>464</v>
      </c>
      <c r="R5" s="1">
        <v>1</v>
      </c>
      <c r="S5" s="1" t="s">
        <v>449</v>
      </c>
      <c r="T5" s="1">
        <v>1</v>
      </c>
    </row>
    <row r="6" spans="1:20" x14ac:dyDescent="0.35">
      <c r="A6" s="51" t="s">
        <v>527</v>
      </c>
      <c r="B6">
        <v>5</v>
      </c>
      <c r="C6" s="3"/>
      <c r="D6" s="1" t="s">
        <v>461</v>
      </c>
      <c r="E6" s="1" t="s">
        <v>466</v>
      </c>
      <c r="F6" s="1" t="s">
        <v>466</v>
      </c>
      <c r="G6" s="1" t="s">
        <v>486</v>
      </c>
      <c r="H6" s="1">
        <v>0.55000000000000004</v>
      </c>
      <c r="I6" s="1" t="s">
        <v>466</v>
      </c>
      <c r="J6" s="1">
        <v>0.45</v>
      </c>
      <c r="K6" s="1" t="s">
        <v>470</v>
      </c>
      <c r="L6" s="1">
        <v>0.55000000000000004</v>
      </c>
      <c r="M6" s="1" t="s">
        <v>486</v>
      </c>
      <c r="N6" s="1">
        <v>0.45</v>
      </c>
      <c r="O6" s="1" t="s">
        <v>461</v>
      </c>
      <c r="P6" s="1">
        <v>1</v>
      </c>
      <c r="Q6" s="1" t="s">
        <v>465</v>
      </c>
      <c r="R6" s="1">
        <v>1</v>
      </c>
    </row>
    <row r="7" spans="1:20" x14ac:dyDescent="0.35">
      <c r="A7" s="51" t="s">
        <v>529</v>
      </c>
      <c r="B7">
        <v>5</v>
      </c>
      <c r="C7" s="3"/>
      <c r="D7" s="1" t="s">
        <v>446</v>
      </c>
      <c r="E7" s="1" t="s">
        <v>467</v>
      </c>
      <c r="F7" s="1" t="s">
        <v>467</v>
      </c>
      <c r="G7" s="1" t="s">
        <v>487</v>
      </c>
      <c r="H7" s="1">
        <v>0.55000000000000004</v>
      </c>
      <c r="I7" s="1" t="s">
        <v>467</v>
      </c>
      <c r="J7" s="1">
        <v>0.45</v>
      </c>
      <c r="K7" s="1" t="s">
        <v>471</v>
      </c>
      <c r="L7" s="1">
        <v>0.55000000000000004</v>
      </c>
      <c r="M7" s="1" t="s">
        <v>487</v>
      </c>
      <c r="N7" s="1">
        <v>0.45</v>
      </c>
    </row>
    <row r="8" spans="1:20" x14ac:dyDescent="0.35">
      <c r="A8" s="51" t="s">
        <v>531</v>
      </c>
      <c r="B8">
        <v>4</v>
      </c>
      <c r="C8" s="3"/>
      <c r="D8" s="1" t="s">
        <v>447</v>
      </c>
      <c r="E8" s="1" t="s">
        <v>468</v>
      </c>
      <c r="F8" s="1" t="s">
        <v>468</v>
      </c>
      <c r="G8" s="1" t="s">
        <v>488</v>
      </c>
      <c r="H8" s="1">
        <v>0.55000000000000004</v>
      </c>
      <c r="I8" s="1" t="s">
        <v>468</v>
      </c>
      <c r="J8" s="1">
        <v>0.45</v>
      </c>
      <c r="K8" s="1" t="s">
        <v>472</v>
      </c>
      <c r="L8" s="1">
        <v>0.55000000000000004</v>
      </c>
      <c r="M8" s="1" t="s">
        <v>488</v>
      </c>
      <c r="N8" s="1">
        <v>0.45</v>
      </c>
    </row>
    <row r="9" spans="1:20" x14ac:dyDescent="0.35">
      <c r="A9" s="395"/>
      <c r="C9" s="3"/>
      <c r="D9" s="1" t="s">
        <v>448</v>
      </c>
      <c r="E9" s="1" t="s">
        <v>469</v>
      </c>
      <c r="F9" s="1" t="s">
        <v>469</v>
      </c>
      <c r="G9" s="1" t="s">
        <v>489</v>
      </c>
      <c r="H9" s="1">
        <v>0.55000000000000004</v>
      </c>
      <c r="I9" s="1" t="s">
        <v>469</v>
      </c>
      <c r="J9" s="1">
        <v>0.45</v>
      </c>
      <c r="K9" s="1" t="s">
        <v>473</v>
      </c>
      <c r="L9" s="1">
        <v>0.55000000000000004</v>
      </c>
      <c r="M9" s="1" t="s">
        <v>489</v>
      </c>
      <c r="N9" s="1">
        <v>0.45</v>
      </c>
    </row>
    <row r="10" spans="1:20" x14ac:dyDescent="0.35">
      <c r="A10" s="395"/>
      <c r="C10" s="3"/>
      <c r="D10" s="1" t="s">
        <v>449</v>
      </c>
      <c r="E10" s="1" t="s">
        <v>470</v>
      </c>
      <c r="F10" s="1" t="s">
        <v>470</v>
      </c>
      <c r="G10" s="1" t="s">
        <v>490</v>
      </c>
      <c r="H10" s="1">
        <v>0.6</v>
      </c>
      <c r="I10" s="1" t="s">
        <v>474</v>
      </c>
      <c r="J10" s="1">
        <v>0.45</v>
      </c>
      <c r="K10" s="1" t="s">
        <v>474</v>
      </c>
      <c r="L10" s="1">
        <v>0.55000000000000004</v>
      </c>
      <c r="M10" s="1" t="s">
        <v>478</v>
      </c>
      <c r="N10" s="1">
        <v>0.45</v>
      </c>
    </row>
    <row r="11" spans="1:20" x14ac:dyDescent="0.35">
      <c r="A11" s="395"/>
      <c r="C11" s="3"/>
      <c r="E11" s="1" t="s">
        <v>471</v>
      </c>
      <c r="F11" s="1" t="s">
        <v>471</v>
      </c>
      <c r="G11" s="1" t="s">
        <v>491</v>
      </c>
      <c r="H11" s="1">
        <v>0.6</v>
      </c>
      <c r="I11" s="1" t="s">
        <v>475</v>
      </c>
      <c r="J11" s="1">
        <v>0.45</v>
      </c>
      <c r="K11" s="1" t="s">
        <v>475</v>
      </c>
      <c r="L11" s="1">
        <v>0.55000000000000004</v>
      </c>
      <c r="M11" s="1" t="s">
        <v>479</v>
      </c>
      <c r="N11" s="1">
        <v>0.45</v>
      </c>
    </row>
    <row r="12" spans="1:20" x14ac:dyDescent="0.35">
      <c r="A12" s="395"/>
      <c r="C12" s="3"/>
      <c r="E12" s="1" t="s">
        <v>472</v>
      </c>
      <c r="F12" s="1" t="s">
        <v>472</v>
      </c>
      <c r="G12" s="1" t="s">
        <v>417</v>
      </c>
      <c r="H12" s="1">
        <v>1</v>
      </c>
      <c r="I12" s="1" t="s">
        <v>476</v>
      </c>
      <c r="J12" s="1">
        <v>0.45</v>
      </c>
      <c r="K12" s="1" t="s">
        <v>476</v>
      </c>
      <c r="L12" s="1">
        <v>0.55000000000000004</v>
      </c>
      <c r="M12" s="1" t="s">
        <v>480</v>
      </c>
      <c r="N12" s="1">
        <v>0.45</v>
      </c>
    </row>
    <row r="13" spans="1:20" x14ac:dyDescent="0.35">
      <c r="C13" s="3"/>
      <c r="E13" s="1" t="s">
        <v>473</v>
      </c>
      <c r="F13" s="1" t="s">
        <v>473</v>
      </c>
      <c r="G13" s="1" t="s">
        <v>418</v>
      </c>
      <c r="H13" s="1">
        <v>1</v>
      </c>
      <c r="I13" s="1" t="s">
        <v>477</v>
      </c>
      <c r="J13" s="1">
        <v>0.45</v>
      </c>
      <c r="K13" s="1" t="s">
        <v>477</v>
      </c>
      <c r="L13" s="1">
        <v>0.55000000000000004</v>
      </c>
      <c r="M13" s="1" t="s">
        <v>481</v>
      </c>
      <c r="N13" s="1">
        <v>0.45</v>
      </c>
    </row>
    <row r="14" spans="1:20" x14ac:dyDescent="0.35">
      <c r="A14" s="396"/>
      <c r="C14" s="3"/>
      <c r="E14" s="1" t="s">
        <v>486</v>
      </c>
      <c r="F14" s="1" t="s">
        <v>486</v>
      </c>
      <c r="G14" s="1" t="s">
        <v>419</v>
      </c>
      <c r="H14" s="1">
        <v>1</v>
      </c>
      <c r="I14" s="1" t="s">
        <v>501</v>
      </c>
      <c r="J14" s="1">
        <v>0.25</v>
      </c>
      <c r="K14" s="1" t="s">
        <v>478</v>
      </c>
      <c r="L14" s="1">
        <v>0.55000000000000004</v>
      </c>
      <c r="M14" s="1" t="s">
        <v>498</v>
      </c>
      <c r="N14" s="1">
        <v>0.5</v>
      </c>
    </row>
    <row r="15" spans="1:20" x14ac:dyDescent="0.35">
      <c r="A15" s="396"/>
      <c r="C15" s="3"/>
      <c r="E15" s="1" t="s">
        <v>487</v>
      </c>
      <c r="F15" s="1" t="s">
        <v>487</v>
      </c>
      <c r="G15" s="1" t="s">
        <v>420</v>
      </c>
      <c r="H15" s="1">
        <v>1</v>
      </c>
      <c r="I15" s="1" t="s">
        <v>492</v>
      </c>
      <c r="J15" s="1">
        <v>0.5</v>
      </c>
      <c r="K15" s="1" t="s">
        <v>479</v>
      </c>
      <c r="L15" s="1">
        <v>0.55000000000000004</v>
      </c>
      <c r="M15" s="1" t="s">
        <v>499</v>
      </c>
      <c r="N15" s="1">
        <v>0.5</v>
      </c>
    </row>
    <row r="16" spans="1:20" x14ac:dyDescent="0.35">
      <c r="A16" s="395"/>
      <c r="C16" s="3"/>
      <c r="E16" s="1" t="s">
        <v>488</v>
      </c>
      <c r="F16" s="1" t="s">
        <v>488</v>
      </c>
      <c r="G16" s="1" t="s">
        <v>421</v>
      </c>
      <c r="H16" s="1">
        <v>1</v>
      </c>
      <c r="I16" s="1" t="s">
        <v>493</v>
      </c>
      <c r="J16" s="1">
        <v>0.5</v>
      </c>
      <c r="K16" s="1" t="s">
        <v>480</v>
      </c>
      <c r="L16" s="1">
        <v>0.55000000000000004</v>
      </c>
      <c r="M16" s="1" t="s">
        <v>500</v>
      </c>
      <c r="N16" s="1">
        <v>0.5</v>
      </c>
    </row>
    <row r="17" spans="1:14" x14ac:dyDescent="0.35">
      <c r="A17" s="395"/>
      <c r="C17" s="3"/>
      <c r="E17" s="1" t="s">
        <v>489</v>
      </c>
      <c r="F17" s="1" t="s">
        <v>489</v>
      </c>
      <c r="G17" s="1" t="s">
        <v>422</v>
      </c>
      <c r="H17" s="1">
        <v>1</v>
      </c>
      <c r="I17" s="1" t="s">
        <v>494</v>
      </c>
      <c r="J17" s="1">
        <v>0.5</v>
      </c>
      <c r="K17" s="1" t="s">
        <v>481</v>
      </c>
      <c r="L17" s="1">
        <v>0.55000000000000004</v>
      </c>
      <c r="M17" s="1" t="s">
        <v>450</v>
      </c>
      <c r="N17" s="1">
        <v>1</v>
      </c>
    </row>
    <row r="18" spans="1:14" x14ac:dyDescent="0.35">
      <c r="A18" s="395"/>
      <c r="C18" s="3"/>
      <c r="E18" s="1" t="s">
        <v>474</v>
      </c>
      <c r="F18" s="1" t="s">
        <v>474</v>
      </c>
      <c r="G18" s="1" t="s">
        <v>423</v>
      </c>
      <c r="H18" s="1">
        <v>1</v>
      </c>
      <c r="I18" s="1" t="s">
        <v>495</v>
      </c>
      <c r="J18" s="1">
        <v>0.45</v>
      </c>
      <c r="K18" s="1" t="s">
        <v>400</v>
      </c>
      <c r="L18" s="1">
        <v>1</v>
      </c>
      <c r="M18" s="1" t="s">
        <v>451</v>
      </c>
      <c r="N18" s="1">
        <v>1</v>
      </c>
    </row>
    <row r="19" spans="1:14" x14ac:dyDescent="0.35">
      <c r="A19" s="395"/>
      <c r="C19" s="3"/>
      <c r="E19" s="1" t="s">
        <v>475</v>
      </c>
      <c r="F19" s="1" t="s">
        <v>475</v>
      </c>
      <c r="G19" s="1" t="s">
        <v>424</v>
      </c>
      <c r="H19" s="1">
        <v>1</v>
      </c>
      <c r="I19" s="1" t="s">
        <v>496</v>
      </c>
      <c r="J19" s="1">
        <v>0.45</v>
      </c>
      <c r="K19" s="1" t="s">
        <v>401</v>
      </c>
      <c r="L19" s="1">
        <v>1</v>
      </c>
      <c r="M19" s="1" t="s">
        <v>452</v>
      </c>
      <c r="N19" s="1">
        <v>1</v>
      </c>
    </row>
    <row r="20" spans="1:14" x14ac:dyDescent="0.35">
      <c r="A20" s="395"/>
      <c r="C20" s="3"/>
      <c r="E20" s="1" t="s">
        <v>476</v>
      </c>
      <c r="F20" s="1" t="s">
        <v>476</v>
      </c>
      <c r="G20" s="1" t="s">
        <v>395</v>
      </c>
      <c r="H20" s="1">
        <v>1</v>
      </c>
      <c r="I20" s="1" t="s">
        <v>497</v>
      </c>
      <c r="J20" s="1">
        <v>0.55000000000000004</v>
      </c>
      <c r="K20" s="1" t="s">
        <v>402</v>
      </c>
      <c r="L20" s="1">
        <v>1</v>
      </c>
      <c r="M20" s="1" t="s">
        <v>453</v>
      </c>
      <c r="N20" s="1">
        <v>1</v>
      </c>
    </row>
    <row r="21" spans="1:14" x14ac:dyDescent="0.35">
      <c r="A21" s="395"/>
      <c r="C21" s="3"/>
      <c r="E21" s="1" t="s">
        <v>477</v>
      </c>
      <c r="F21" s="1" t="s">
        <v>477</v>
      </c>
      <c r="G21" s="1" t="s">
        <v>398</v>
      </c>
      <c r="H21" s="1">
        <v>1</v>
      </c>
      <c r="I21" s="1" t="s">
        <v>454</v>
      </c>
      <c r="J21" s="1">
        <v>1</v>
      </c>
      <c r="K21" s="1" t="s">
        <v>403</v>
      </c>
      <c r="L21" s="1">
        <v>1</v>
      </c>
    </row>
    <row r="22" spans="1:14" x14ac:dyDescent="0.35">
      <c r="A22" s="395"/>
      <c r="C22" s="3"/>
      <c r="E22" s="1" t="s">
        <v>478</v>
      </c>
      <c r="F22" s="1" t="s">
        <v>478</v>
      </c>
      <c r="G22" s="1" t="s">
        <v>425</v>
      </c>
      <c r="H22" s="1">
        <v>1</v>
      </c>
      <c r="I22" s="1" t="s">
        <v>455</v>
      </c>
      <c r="J22" s="1">
        <v>1</v>
      </c>
      <c r="K22" s="1" t="s">
        <v>404</v>
      </c>
      <c r="L22" s="1">
        <v>1</v>
      </c>
    </row>
    <row r="23" spans="1:14" x14ac:dyDescent="0.35">
      <c r="A23" s="395"/>
      <c r="C23" s="3"/>
      <c r="E23" s="1" t="s">
        <v>479</v>
      </c>
      <c r="F23" s="1" t="s">
        <v>479</v>
      </c>
      <c r="G23" s="1" t="s">
        <v>426</v>
      </c>
      <c r="H23" s="1">
        <v>1</v>
      </c>
      <c r="I23" s="1" t="s">
        <v>456</v>
      </c>
      <c r="J23" s="1">
        <v>1</v>
      </c>
      <c r="K23" s="1" t="s">
        <v>405</v>
      </c>
      <c r="L23" s="1">
        <v>1</v>
      </c>
    </row>
    <row r="24" spans="1:14" x14ac:dyDescent="0.35">
      <c r="A24" s="395"/>
      <c r="C24" s="3"/>
      <c r="E24" s="1" t="s">
        <v>480</v>
      </c>
      <c r="F24" s="1" t="s">
        <v>480</v>
      </c>
      <c r="G24" s="1" t="s">
        <v>427</v>
      </c>
      <c r="H24" s="1">
        <v>1</v>
      </c>
      <c r="I24" s="1" t="s">
        <v>457</v>
      </c>
      <c r="J24" s="1">
        <v>1</v>
      </c>
      <c r="K24" s="1" t="s">
        <v>406</v>
      </c>
      <c r="L24" s="1">
        <v>1</v>
      </c>
    </row>
    <row r="25" spans="1:14" x14ac:dyDescent="0.35">
      <c r="A25" s="395"/>
      <c r="C25" s="3"/>
      <c r="E25" s="1" t="s">
        <v>481</v>
      </c>
      <c r="F25" s="1" t="s">
        <v>481</v>
      </c>
      <c r="G25" s="1" t="s">
        <v>428</v>
      </c>
      <c r="H25" s="1">
        <v>1</v>
      </c>
      <c r="K25" s="1" t="s">
        <v>407</v>
      </c>
      <c r="L25" s="1">
        <v>1</v>
      </c>
    </row>
    <row r="26" spans="1:14" x14ac:dyDescent="0.35">
      <c r="A26" s="395"/>
      <c r="C26" s="3"/>
      <c r="E26" s="1" t="s">
        <v>501</v>
      </c>
      <c r="F26" s="1" t="s">
        <v>490</v>
      </c>
      <c r="G26" s="1" t="s">
        <v>429</v>
      </c>
      <c r="H26" s="1">
        <v>1</v>
      </c>
      <c r="K26" s="1" t="s">
        <v>408</v>
      </c>
      <c r="L26" s="1">
        <v>1</v>
      </c>
    </row>
    <row r="27" spans="1:14" x14ac:dyDescent="0.35">
      <c r="A27" s="395"/>
      <c r="C27" s="3"/>
      <c r="E27" s="1" t="s">
        <v>501</v>
      </c>
      <c r="F27" s="1" t="s">
        <v>495</v>
      </c>
      <c r="G27" s="1" t="s">
        <v>430</v>
      </c>
      <c r="H27" s="1">
        <v>1</v>
      </c>
      <c r="K27" s="1" t="s">
        <v>409</v>
      </c>
      <c r="L27" s="1">
        <v>1</v>
      </c>
    </row>
    <row r="28" spans="1:14" x14ac:dyDescent="0.35">
      <c r="A28" s="395"/>
      <c r="C28" s="3"/>
      <c r="E28" s="1" t="s">
        <v>501</v>
      </c>
      <c r="F28" s="1" t="s">
        <v>496</v>
      </c>
      <c r="G28" s="1" t="s">
        <v>431</v>
      </c>
      <c r="H28" s="1">
        <v>1</v>
      </c>
      <c r="K28" s="1" t="s">
        <v>410</v>
      </c>
      <c r="L28" s="1">
        <v>1</v>
      </c>
    </row>
    <row r="29" spans="1:14" x14ac:dyDescent="0.35">
      <c r="A29" s="395"/>
      <c r="C29" s="3"/>
      <c r="E29" s="1" t="s">
        <v>501</v>
      </c>
      <c r="F29" s="1" t="s">
        <v>491</v>
      </c>
      <c r="G29" s="1" t="s">
        <v>432</v>
      </c>
      <c r="H29" s="1">
        <v>1</v>
      </c>
      <c r="K29" s="1" t="s">
        <v>411</v>
      </c>
      <c r="L29" s="1">
        <v>1</v>
      </c>
    </row>
    <row r="30" spans="1:14" x14ac:dyDescent="0.35">
      <c r="C30" s="3"/>
      <c r="E30" s="1" t="s">
        <v>492</v>
      </c>
      <c r="F30" s="1" t="s">
        <v>417</v>
      </c>
      <c r="G30" s="1" t="s">
        <v>433</v>
      </c>
      <c r="H30" s="1">
        <v>1</v>
      </c>
      <c r="K30" s="1" t="s">
        <v>412</v>
      </c>
      <c r="L30" s="1">
        <v>1</v>
      </c>
    </row>
    <row r="31" spans="1:14" x14ac:dyDescent="0.35">
      <c r="C31" s="3"/>
      <c r="E31" s="1" t="s">
        <v>492</v>
      </c>
      <c r="F31" s="1" t="s">
        <v>418</v>
      </c>
      <c r="G31" s="1" t="s">
        <v>434</v>
      </c>
      <c r="H31" s="1">
        <v>1</v>
      </c>
      <c r="K31" s="1" t="s">
        <v>413</v>
      </c>
      <c r="L31" s="1">
        <v>1</v>
      </c>
    </row>
    <row r="32" spans="1:14" x14ac:dyDescent="0.35">
      <c r="C32" s="3"/>
      <c r="E32" s="1" t="s">
        <v>493</v>
      </c>
      <c r="F32" s="1" t="s">
        <v>419</v>
      </c>
      <c r="G32" s="1" t="s">
        <v>435</v>
      </c>
      <c r="H32" s="1">
        <v>1</v>
      </c>
      <c r="K32" s="1" t="s">
        <v>414</v>
      </c>
      <c r="L32" s="1">
        <v>1</v>
      </c>
    </row>
    <row r="33" spans="3:12" x14ac:dyDescent="0.35">
      <c r="C33" s="3"/>
      <c r="E33" s="1" t="s">
        <v>493</v>
      </c>
      <c r="F33" s="1" t="s">
        <v>420</v>
      </c>
      <c r="G33" s="1" t="s">
        <v>437</v>
      </c>
      <c r="H33" s="1">
        <v>1</v>
      </c>
      <c r="K33" s="1" t="s">
        <v>415</v>
      </c>
      <c r="L33" s="1">
        <v>1</v>
      </c>
    </row>
    <row r="34" spans="3:12" x14ac:dyDescent="0.35">
      <c r="C34" s="3"/>
      <c r="E34" s="1" t="s">
        <v>494</v>
      </c>
      <c r="F34" s="1" t="s">
        <v>400</v>
      </c>
      <c r="G34" s="1" t="s">
        <v>436</v>
      </c>
      <c r="H34" s="1">
        <v>1</v>
      </c>
      <c r="K34" s="1" t="s">
        <v>416</v>
      </c>
      <c r="L34" s="1">
        <v>1</v>
      </c>
    </row>
    <row r="35" spans="3:12" x14ac:dyDescent="0.35">
      <c r="C35" s="3"/>
      <c r="E35" s="1" t="s">
        <v>494</v>
      </c>
      <c r="F35" s="1" t="s">
        <v>401</v>
      </c>
      <c r="G35" s="1" t="s">
        <v>438</v>
      </c>
      <c r="H35" s="1">
        <v>1</v>
      </c>
    </row>
    <row r="36" spans="3:12" x14ac:dyDescent="0.35">
      <c r="C36" s="3"/>
      <c r="E36" s="1" t="s">
        <v>495</v>
      </c>
      <c r="F36" s="1" t="s">
        <v>402</v>
      </c>
      <c r="G36" s="1" t="s">
        <v>439</v>
      </c>
      <c r="H36" s="1">
        <v>1</v>
      </c>
    </row>
    <row r="37" spans="3:12" x14ac:dyDescent="0.35">
      <c r="C37" s="3"/>
      <c r="E37" s="1" t="s">
        <v>496</v>
      </c>
      <c r="F37" s="1" t="s">
        <v>403</v>
      </c>
      <c r="G37" s="1" t="s">
        <v>440</v>
      </c>
      <c r="H37" s="1">
        <v>1</v>
      </c>
    </row>
    <row r="38" spans="3:12" x14ac:dyDescent="0.35">
      <c r="C38" s="3"/>
      <c r="E38" s="1" t="s">
        <v>497</v>
      </c>
      <c r="F38" s="1" t="s">
        <v>404</v>
      </c>
      <c r="G38" s="1" t="s">
        <v>441</v>
      </c>
      <c r="H38" s="1">
        <v>1</v>
      </c>
    </row>
    <row r="39" spans="3:12" x14ac:dyDescent="0.35">
      <c r="C39" s="3"/>
      <c r="E39" s="1" t="s">
        <v>497</v>
      </c>
      <c r="F39" s="1" t="s">
        <v>405</v>
      </c>
      <c r="G39" s="1" t="s">
        <v>442</v>
      </c>
      <c r="H39" s="1">
        <v>1</v>
      </c>
    </row>
    <row r="40" spans="3:12" x14ac:dyDescent="0.35">
      <c r="C40" s="3"/>
      <c r="E40" s="1" t="s">
        <v>491</v>
      </c>
      <c r="F40" s="1" t="s">
        <v>406</v>
      </c>
      <c r="G40" s="1" t="s">
        <v>443</v>
      </c>
      <c r="H40" s="1">
        <v>1</v>
      </c>
    </row>
    <row r="41" spans="3:12" x14ac:dyDescent="0.35">
      <c r="C41" s="3"/>
      <c r="E41" s="1" t="s">
        <v>498</v>
      </c>
      <c r="F41" s="1" t="s">
        <v>407</v>
      </c>
      <c r="G41" s="1" t="s">
        <v>444</v>
      </c>
      <c r="H41" s="1">
        <v>1</v>
      </c>
    </row>
    <row r="42" spans="3:12" x14ac:dyDescent="0.35">
      <c r="C42" s="3"/>
      <c r="E42" s="1" t="s">
        <v>498</v>
      </c>
      <c r="F42" s="1" t="s">
        <v>408</v>
      </c>
      <c r="G42" s="1" t="s">
        <v>445</v>
      </c>
      <c r="H42" s="1">
        <v>1</v>
      </c>
    </row>
    <row r="43" spans="3:12" x14ac:dyDescent="0.35">
      <c r="C43" s="3"/>
      <c r="E43" s="1" t="s">
        <v>499</v>
      </c>
      <c r="F43" s="1" t="s">
        <v>409</v>
      </c>
    </row>
    <row r="44" spans="3:12" x14ac:dyDescent="0.35">
      <c r="C44" s="3"/>
      <c r="E44" s="1" t="s">
        <v>499</v>
      </c>
      <c r="F44" s="1" t="s">
        <v>410</v>
      </c>
    </row>
    <row r="45" spans="3:12" x14ac:dyDescent="0.35">
      <c r="C45" s="3"/>
      <c r="E45" s="1" t="s">
        <v>500</v>
      </c>
      <c r="F45" s="1" t="s">
        <v>411</v>
      </c>
    </row>
    <row r="46" spans="3:12" x14ac:dyDescent="0.35">
      <c r="C46" s="3"/>
      <c r="E46" s="1" t="s">
        <v>500</v>
      </c>
      <c r="F46" s="1" t="s">
        <v>412</v>
      </c>
    </row>
    <row r="47" spans="3:12" x14ac:dyDescent="0.35">
      <c r="C47" s="3"/>
      <c r="E47" s="1" t="s">
        <v>454</v>
      </c>
      <c r="F47" s="1" t="s">
        <v>413</v>
      </c>
    </row>
    <row r="48" spans="3:12" x14ac:dyDescent="0.35">
      <c r="C48" s="3"/>
      <c r="E48" s="1" t="s">
        <v>455</v>
      </c>
      <c r="F48" s="1" t="s">
        <v>414</v>
      </c>
    </row>
    <row r="49" spans="3:6" x14ac:dyDescent="0.35">
      <c r="C49" s="3"/>
      <c r="E49" s="1" t="s">
        <v>456</v>
      </c>
      <c r="F49" s="1" t="s">
        <v>415</v>
      </c>
    </row>
    <row r="50" spans="3:6" x14ac:dyDescent="0.35">
      <c r="C50" s="3"/>
      <c r="E50" s="1" t="s">
        <v>457</v>
      </c>
      <c r="F50" s="1" t="s">
        <v>416</v>
      </c>
    </row>
    <row r="51" spans="3:6" x14ac:dyDescent="0.35">
      <c r="C51" s="3"/>
      <c r="E51" s="1" t="s">
        <v>450</v>
      </c>
      <c r="F51" s="1" t="s">
        <v>421</v>
      </c>
    </row>
    <row r="52" spans="3:6" x14ac:dyDescent="0.35">
      <c r="C52" s="3"/>
      <c r="E52" s="1" t="s">
        <v>451</v>
      </c>
      <c r="F52" s="1" t="s">
        <v>422</v>
      </c>
    </row>
    <row r="53" spans="3:6" x14ac:dyDescent="0.35">
      <c r="C53" s="3"/>
      <c r="E53" s="1" t="s">
        <v>452</v>
      </c>
      <c r="F53" s="1" t="s">
        <v>423</v>
      </c>
    </row>
    <row r="54" spans="3:6" x14ac:dyDescent="0.35">
      <c r="C54" s="3"/>
      <c r="E54" s="1" t="s">
        <v>453</v>
      </c>
      <c r="F54" s="1" t="s">
        <v>424</v>
      </c>
    </row>
    <row r="55" spans="3:6" x14ac:dyDescent="0.35">
      <c r="C55" s="3"/>
      <c r="E55" s="1" t="s">
        <v>462</v>
      </c>
      <c r="F55" s="1" t="s">
        <v>395</v>
      </c>
    </row>
    <row r="56" spans="3:6" x14ac:dyDescent="0.35">
      <c r="C56" s="3"/>
      <c r="E56" s="1" t="s">
        <v>463</v>
      </c>
      <c r="F56" s="1" t="s">
        <v>398</v>
      </c>
    </row>
    <row r="57" spans="3:6" x14ac:dyDescent="0.35">
      <c r="C57" s="3"/>
      <c r="E57" s="1" t="s">
        <v>464</v>
      </c>
      <c r="F57" s="1" t="s">
        <v>425</v>
      </c>
    </row>
    <row r="58" spans="3:6" x14ac:dyDescent="0.35">
      <c r="C58" s="197"/>
      <c r="E58" s="1" t="s">
        <v>465</v>
      </c>
      <c r="F58" s="1" t="s">
        <v>426</v>
      </c>
    </row>
    <row r="59" spans="3:6" x14ac:dyDescent="0.35">
      <c r="C59" s="197"/>
      <c r="F59" s="1" t="s">
        <v>427</v>
      </c>
    </row>
    <row r="60" spans="3:6" x14ac:dyDescent="0.35">
      <c r="C60" s="197"/>
      <c r="F60" s="1" t="s">
        <v>428</v>
      </c>
    </row>
    <row r="61" spans="3:6" x14ac:dyDescent="0.35">
      <c r="C61" s="197"/>
      <c r="F61" s="1" t="s">
        <v>429</v>
      </c>
    </row>
    <row r="62" spans="3:6" x14ac:dyDescent="0.35">
      <c r="C62" s="197"/>
      <c r="F62" s="1" t="s">
        <v>430</v>
      </c>
    </row>
    <row r="63" spans="3:6" x14ac:dyDescent="0.35">
      <c r="C63" s="197"/>
      <c r="F63" s="1" t="s">
        <v>431</v>
      </c>
    </row>
    <row r="64" spans="3:6" x14ac:dyDescent="0.35">
      <c r="C64" s="197"/>
      <c r="F64" s="1" t="s">
        <v>432</v>
      </c>
    </row>
    <row r="65" spans="3:6" x14ac:dyDescent="0.35">
      <c r="C65" s="197"/>
      <c r="F65" s="1" t="s">
        <v>433</v>
      </c>
    </row>
    <row r="66" spans="3:6" x14ac:dyDescent="0.35">
      <c r="C66" s="3"/>
      <c r="F66" s="1" t="s">
        <v>434</v>
      </c>
    </row>
    <row r="67" spans="3:6" x14ac:dyDescent="0.35">
      <c r="C67" s="3"/>
      <c r="F67" s="1" t="s">
        <v>435</v>
      </c>
    </row>
    <row r="68" spans="3:6" x14ac:dyDescent="0.35">
      <c r="C68" s="3"/>
      <c r="F68" s="1" t="s">
        <v>437</v>
      </c>
    </row>
    <row r="69" spans="3:6" x14ac:dyDescent="0.35">
      <c r="C69" s="3"/>
      <c r="F69" s="1" t="s">
        <v>436</v>
      </c>
    </row>
    <row r="70" spans="3:6" x14ac:dyDescent="0.35">
      <c r="C70" s="3"/>
      <c r="F70" s="1" t="s">
        <v>518</v>
      </c>
    </row>
    <row r="71" spans="3:6" x14ac:dyDescent="0.35">
      <c r="C71" s="3"/>
      <c r="F71" s="1" t="s">
        <v>515</v>
      </c>
    </row>
    <row r="72" spans="3:6" x14ac:dyDescent="0.35">
      <c r="C72" s="3"/>
      <c r="F72" s="1" t="s">
        <v>519</v>
      </c>
    </row>
    <row r="73" spans="3:6" x14ac:dyDescent="0.35">
      <c r="C73" s="3"/>
      <c r="F73" s="1" t="s">
        <v>517</v>
      </c>
    </row>
    <row r="74" spans="3:6" x14ac:dyDescent="0.35">
      <c r="F74" s="1" t="s">
        <v>516</v>
      </c>
    </row>
    <row r="75" spans="3:6" x14ac:dyDescent="0.35">
      <c r="C75" s="197"/>
      <c r="F75" s="1" t="s">
        <v>438</v>
      </c>
    </row>
    <row r="76" spans="3:6" x14ac:dyDescent="0.35">
      <c r="F76" s="1" t="s">
        <v>439</v>
      </c>
    </row>
    <row r="77" spans="3:6" x14ac:dyDescent="0.35">
      <c r="F77" s="1" t="s">
        <v>440</v>
      </c>
    </row>
    <row r="78" spans="3:6" x14ac:dyDescent="0.35">
      <c r="F78" s="1" t="s">
        <v>441</v>
      </c>
    </row>
    <row r="79" spans="3:6" x14ac:dyDescent="0.35">
      <c r="F79" s="1" t="s">
        <v>442</v>
      </c>
    </row>
    <row r="80" spans="3:6" x14ac:dyDescent="0.35">
      <c r="F80" s="1" t="s">
        <v>443</v>
      </c>
    </row>
    <row r="81" spans="6:6" x14ac:dyDescent="0.35">
      <c r="F81" s="1" t="s">
        <v>444</v>
      </c>
    </row>
    <row r="82" spans="6:6" x14ac:dyDescent="0.35">
      <c r="F82" s="1" t="s">
        <v>445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workbookViewId="0">
      <pane ySplit="1" topLeftCell="A2" activePane="bottomLeft" state="frozen"/>
      <selection sqref="A1:AU2"/>
      <selection pane="bottomLeft" activeCell="A2" sqref="A2:AU6"/>
    </sheetView>
  </sheetViews>
  <sheetFormatPr defaultColWidth="9.1796875" defaultRowHeight="14.5" x14ac:dyDescent="0.35"/>
  <cols>
    <col min="1" max="1" width="14.26953125" style="3" customWidth="1"/>
    <col min="2" max="2" width="14.26953125" style="382" customWidth="1"/>
    <col min="3" max="3" width="32.26953125" style="3" customWidth="1"/>
    <col min="4" max="4" width="14.26953125" style="3" customWidth="1"/>
    <col min="5" max="5" width="15.81640625" style="129" customWidth="1"/>
    <col min="6" max="6" width="14" style="3" bestFit="1" customWidth="1"/>
    <col min="7" max="7" width="63.453125" style="3" customWidth="1"/>
    <col min="8" max="8" width="14.26953125" style="6" customWidth="1"/>
    <col min="9" max="9" width="14.26953125" style="2" customWidth="1"/>
    <col min="10" max="10" width="14.26953125" style="90" customWidth="1"/>
    <col min="11" max="11" width="33.453125" style="90" customWidth="1"/>
    <col min="12" max="13" width="14.26953125" style="90" customWidth="1"/>
    <col min="14" max="14" width="11.54296875" style="516" customWidth="1"/>
    <col min="15" max="15" width="34.453125" style="3" customWidth="1"/>
    <col min="16" max="16" width="14.26953125" style="6" customWidth="1"/>
    <col min="17" max="17" width="16" style="6" customWidth="1"/>
    <col min="18" max="18" width="22" style="3" bestFit="1" customWidth="1"/>
    <col min="19" max="19" width="33.453125" style="3" customWidth="1"/>
    <col min="20" max="20" width="12.1796875" style="198" customWidth="1"/>
    <col min="21" max="21" width="14.26953125" style="382" customWidth="1"/>
    <col min="22" max="22" width="14.26953125" style="3" customWidth="1"/>
    <col min="23" max="23" width="54.81640625" style="3" bestFit="1" customWidth="1"/>
    <col min="24" max="27" width="15.81640625" style="3" customWidth="1"/>
    <col min="28" max="28" width="14.26953125" style="6" customWidth="1"/>
    <col min="29" max="29" width="21.453125" style="519" customWidth="1"/>
    <col min="30" max="30" width="20.81640625" style="6" customWidth="1"/>
    <col min="31" max="31" width="25.453125" style="519" customWidth="1"/>
    <col min="32" max="32" width="21.1796875" style="6" customWidth="1"/>
    <col min="33" max="33" width="21.1796875" style="3" customWidth="1"/>
    <col min="34" max="34" width="21.7265625" style="517" customWidth="1"/>
    <col min="35" max="35" width="58.26953125" style="520" customWidth="1"/>
    <col min="36" max="36" width="20.1796875" style="6" bestFit="1" customWidth="1"/>
    <col min="37" max="37" width="12.7265625" style="198" customWidth="1"/>
    <col min="38" max="38" width="18" style="6" customWidth="1"/>
    <col min="39" max="39" width="18" style="198" customWidth="1"/>
    <col min="40" max="41" width="18" style="3" customWidth="1"/>
    <col min="42" max="42" width="14.81640625" style="521" customWidth="1"/>
    <col min="43" max="43" width="20.81640625" style="522" customWidth="1"/>
    <col min="44" max="46" width="20.81640625" style="523" customWidth="1"/>
    <col min="47" max="47" width="27.453125" style="3" customWidth="1"/>
    <col min="48" max="16384" width="9.1796875" style="198"/>
  </cols>
  <sheetData>
    <row r="1" spans="1:48" s="58" customFormat="1" ht="42" customHeight="1" x14ac:dyDescent="0.35">
      <c r="A1" s="58" t="s">
        <v>44</v>
      </c>
      <c r="B1" s="67" t="s">
        <v>50</v>
      </c>
      <c r="C1" s="58" t="s">
        <v>51</v>
      </c>
      <c r="D1" s="58" t="s">
        <v>34</v>
      </c>
      <c r="E1" s="128" t="s">
        <v>52</v>
      </c>
      <c r="F1" s="58" t="s">
        <v>53</v>
      </c>
      <c r="G1" s="58" t="s">
        <v>33</v>
      </c>
      <c r="H1" s="58" t="s">
        <v>54</v>
      </c>
      <c r="I1" s="88" t="s">
        <v>55</v>
      </c>
      <c r="J1" s="87" t="s">
        <v>266</v>
      </c>
      <c r="K1" s="87" t="s">
        <v>333</v>
      </c>
      <c r="L1" s="87" t="s">
        <v>13</v>
      </c>
      <c r="M1" s="87" t="s">
        <v>14</v>
      </c>
      <c r="N1" s="58" t="s">
        <v>16</v>
      </c>
      <c r="O1" s="58" t="s">
        <v>56</v>
      </c>
      <c r="P1" s="59" t="s">
        <v>57</v>
      </c>
      <c r="Q1" s="59" t="s">
        <v>286</v>
      </c>
      <c r="R1" s="58" t="s">
        <v>58</v>
      </c>
      <c r="S1" s="58" t="s">
        <v>284</v>
      </c>
      <c r="T1" s="58" t="s">
        <v>59</v>
      </c>
      <c r="U1" s="67" t="s">
        <v>60</v>
      </c>
      <c r="V1" s="58" t="s">
        <v>228</v>
      </c>
      <c r="W1" s="58" t="s">
        <v>61</v>
      </c>
      <c r="X1" s="58" t="s">
        <v>62</v>
      </c>
      <c r="Y1" s="58" t="s">
        <v>63</v>
      </c>
      <c r="Z1" s="58" t="s">
        <v>64</v>
      </c>
      <c r="AA1" s="59" t="s">
        <v>246</v>
      </c>
      <c r="AB1" s="58" t="s">
        <v>65</v>
      </c>
      <c r="AC1" s="88" t="s">
        <v>267</v>
      </c>
      <c r="AD1" s="58" t="s">
        <v>268</v>
      </c>
      <c r="AE1" s="88" t="s">
        <v>293</v>
      </c>
      <c r="AF1" s="58" t="s">
        <v>292</v>
      </c>
      <c r="AG1" s="58" t="s">
        <v>295</v>
      </c>
      <c r="AH1" s="4" t="s">
        <v>331</v>
      </c>
      <c r="AI1" s="4" t="s">
        <v>66</v>
      </c>
      <c r="AJ1" s="58" t="s">
        <v>67</v>
      </c>
      <c r="AK1" s="58" t="s">
        <v>68</v>
      </c>
      <c r="AL1" s="130" t="s">
        <v>231</v>
      </c>
      <c r="AM1" s="131" t="s">
        <v>232</v>
      </c>
      <c r="AN1" s="131" t="s">
        <v>233</v>
      </c>
      <c r="AO1" s="131" t="s">
        <v>234</v>
      </c>
      <c r="AP1" s="67" t="s">
        <v>258</v>
      </c>
      <c r="AQ1" s="58" t="s">
        <v>287</v>
      </c>
      <c r="AR1" s="58" t="s">
        <v>288</v>
      </c>
      <c r="AS1" s="58" t="s">
        <v>289</v>
      </c>
      <c r="AT1" s="58" t="s">
        <v>290</v>
      </c>
      <c r="AU1" s="58" t="s">
        <v>334</v>
      </c>
      <c r="AV1" s="58">
        <f>COUNTA(orderData[order_no])+2</f>
        <v>2</v>
      </c>
    </row>
    <row r="2" spans="1:48" x14ac:dyDescent="0.35">
      <c r="B2" s="515"/>
      <c r="R2" s="6"/>
      <c r="S2" s="6"/>
      <c r="T2" s="3"/>
      <c r="U2" s="515"/>
      <c r="V2" s="515"/>
      <c r="X2" s="515"/>
      <c r="Z2" s="6"/>
      <c r="AA2" s="6"/>
      <c r="AC2" s="2"/>
      <c r="AE2" s="2"/>
      <c r="AK2" s="6"/>
      <c r="AM2" s="6"/>
      <c r="AN2" s="6"/>
      <c r="AO2" s="6"/>
      <c r="AP2" s="515"/>
      <c r="AQ2" s="518"/>
      <c r="AR2" s="518"/>
      <c r="AS2" s="518"/>
      <c r="AT2" s="518"/>
      <c r="AU2" s="517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70"/>
  <sheetViews>
    <sheetView zoomScaleNormal="100" workbookViewId="0">
      <pane ySplit="1" topLeftCell="A2" activePane="bottomLeft" state="frozen"/>
      <selection sqref="A1:AU2"/>
      <selection pane="bottomLeft" activeCell="B30" sqref="B30:V43"/>
    </sheetView>
  </sheetViews>
  <sheetFormatPr defaultRowHeight="14.5" x14ac:dyDescent="0.35"/>
  <cols>
    <col min="1" max="1" width="11.54296875" style="2" customWidth="1"/>
    <col min="2" max="2" width="11.54296875" style="93" customWidth="1"/>
    <col min="3" max="3" width="57.1796875" style="94" bestFit="1" customWidth="1"/>
    <col min="4" max="4" width="11.54296875" style="222" customWidth="1"/>
    <col min="5" max="5" width="10.453125" style="548" customWidth="1"/>
    <col min="6" max="6" width="11.54296875" style="2" customWidth="1"/>
    <col min="7" max="7" width="11.54296875" style="547" customWidth="1"/>
    <col min="8" max="8" width="14.7265625" style="89" customWidth="1"/>
    <col min="9" max="10" width="14.7265625" style="2" customWidth="1"/>
    <col min="11" max="11" width="11.54296875" style="2" customWidth="1"/>
    <col min="12" max="12" width="11.54296875" style="90" customWidth="1"/>
    <col min="13" max="13" width="14.54296875" style="98" customWidth="1"/>
    <col min="14" max="14" width="14.54296875" style="219" customWidth="1"/>
    <col min="15" max="15" width="14.54296875" style="91" customWidth="1"/>
    <col min="16" max="18" width="14.54296875" style="86" customWidth="1"/>
    <col min="19" max="19" width="19.54296875" style="86" bestFit="1" customWidth="1"/>
    <col min="20" max="20" width="13.1796875" style="548" bestFit="1" customWidth="1"/>
    <col min="21" max="21" width="12.54296875" style="548" bestFit="1" customWidth="1"/>
    <col min="22" max="22" width="12.1796875" style="548" customWidth="1"/>
    <col min="23" max="23" width="15.453125" bestFit="1" customWidth="1"/>
  </cols>
  <sheetData>
    <row r="1" spans="1:27" s="57" customFormat="1" ht="42" customHeight="1" x14ac:dyDescent="0.35">
      <c r="A1" s="88" t="s">
        <v>44</v>
      </c>
      <c r="B1" s="92" t="s">
        <v>0</v>
      </c>
      <c r="C1" s="92" t="s">
        <v>5</v>
      </c>
      <c r="D1" s="221" t="s">
        <v>45</v>
      </c>
      <c r="E1" s="87" t="s">
        <v>247</v>
      </c>
      <c r="F1" s="88" t="s">
        <v>46</v>
      </c>
      <c r="G1" s="87" t="s">
        <v>47</v>
      </c>
      <c r="H1" s="88" t="s">
        <v>48</v>
      </c>
      <c r="I1" s="88" t="s">
        <v>195</v>
      </c>
      <c r="J1" s="88" t="s">
        <v>243</v>
      </c>
      <c r="K1" s="88" t="s">
        <v>196</v>
      </c>
      <c r="L1" s="87" t="s">
        <v>13</v>
      </c>
      <c r="M1" s="87" t="s">
        <v>14</v>
      </c>
      <c r="N1" s="217" t="s">
        <v>16</v>
      </c>
      <c r="O1" s="88" t="s">
        <v>1</v>
      </c>
      <c r="P1" s="88" t="s">
        <v>43</v>
      </c>
      <c r="Q1" s="88" t="s">
        <v>4</v>
      </c>
      <c r="R1" s="88" t="s">
        <v>307</v>
      </c>
      <c r="S1" s="88" t="s">
        <v>291</v>
      </c>
      <c r="T1" s="87" t="s">
        <v>49</v>
      </c>
      <c r="U1" s="87" t="s">
        <v>248</v>
      </c>
      <c r="V1" s="87" t="s">
        <v>249</v>
      </c>
      <c r="W1" s="58" t="s">
        <v>228</v>
      </c>
      <c r="AA1" s="58">
        <f>SUBTOTAL(3,A:A)-1</f>
        <v>0</v>
      </c>
    </row>
    <row r="2" spans="1:27" x14ac:dyDescent="0.35">
      <c r="D2" s="2"/>
      <c r="E2" s="547"/>
      <c r="F2" s="89"/>
      <c r="H2" s="2"/>
      <c r="M2" s="90"/>
      <c r="N2" s="218"/>
      <c r="O2" s="2"/>
      <c r="P2" s="2"/>
      <c r="Q2" s="2"/>
      <c r="R2" s="2"/>
      <c r="S2" s="2"/>
      <c r="T2" s="90"/>
      <c r="U2" s="90"/>
      <c r="V2" s="90"/>
      <c r="W2" s="6"/>
    </row>
    <row r="3" spans="1:27" x14ac:dyDescent="0.35">
      <c r="D3" s="2"/>
      <c r="E3" s="547"/>
      <c r="F3" s="89"/>
      <c r="H3" s="2"/>
      <c r="M3" s="90"/>
      <c r="N3" s="218"/>
      <c r="O3" s="2"/>
      <c r="P3" s="2"/>
      <c r="Q3" s="2"/>
      <c r="R3" s="2"/>
      <c r="S3" s="2"/>
      <c r="T3" s="90"/>
      <c r="U3" s="90"/>
      <c r="V3" s="90"/>
      <c r="W3" s="6"/>
    </row>
    <row r="4" spans="1:27" x14ac:dyDescent="0.35">
      <c r="D4" s="2"/>
      <c r="E4" s="547"/>
      <c r="F4" s="89"/>
      <c r="H4" s="2"/>
      <c r="M4" s="90"/>
      <c r="N4" s="218"/>
      <c r="O4" s="2"/>
      <c r="P4" s="2"/>
      <c r="Q4" s="2"/>
      <c r="R4" s="2"/>
      <c r="S4" s="2"/>
      <c r="T4" s="90"/>
      <c r="U4" s="90"/>
      <c r="V4" s="90"/>
      <c r="W4" s="6"/>
    </row>
    <row r="5" spans="1:27" x14ac:dyDescent="0.35">
      <c r="D5" s="2"/>
      <c r="E5" s="547"/>
      <c r="F5" s="89"/>
      <c r="H5" s="2"/>
      <c r="M5" s="90"/>
      <c r="N5" s="218"/>
      <c r="O5" s="2"/>
      <c r="P5" s="2"/>
      <c r="Q5" s="2"/>
      <c r="R5" s="2"/>
      <c r="S5" s="2"/>
      <c r="T5" s="90"/>
      <c r="U5" s="90"/>
      <c r="V5" s="90"/>
      <c r="W5" s="6"/>
    </row>
    <row r="6" spans="1:27" x14ac:dyDescent="0.35">
      <c r="D6" s="2"/>
      <c r="E6" s="547"/>
      <c r="F6" s="89"/>
      <c r="H6" s="2"/>
      <c r="M6" s="90"/>
      <c r="N6" s="218"/>
      <c r="O6" s="2"/>
      <c r="P6" s="2"/>
      <c r="Q6" s="2"/>
      <c r="R6" s="2"/>
      <c r="S6" s="2"/>
      <c r="T6" s="90"/>
      <c r="U6" s="90"/>
      <c r="V6" s="90"/>
      <c r="W6" s="6"/>
    </row>
    <row r="7" spans="1:27" x14ac:dyDescent="0.35">
      <c r="D7" s="2"/>
      <c r="E7" s="547"/>
      <c r="F7" s="89"/>
      <c r="H7" s="2"/>
      <c r="M7" s="90"/>
      <c r="N7" s="218"/>
      <c r="O7" s="2"/>
      <c r="P7" s="2"/>
      <c r="Q7" s="2"/>
      <c r="R7" s="2"/>
      <c r="S7" s="2"/>
      <c r="T7" s="90"/>
      <c r="U7" s="90"/>
      <c r="V7" s="90"/>
      <c r="W7" s="6"/>
    </row>
    <row r="8" spans="1:27" x14ac:dyDescent="0.35">
      <c r="D8" s="2"/>
      <c r="E8" s="547"/>
      <c r="F8" s="89"/>
      <c r="H8" s="2"/>
      <c r="M8" s="90"/>
      <c r="N8" s="218"/>
      <c r="O8" s="2"/>
      <c r="P8" s="2"/>
      <c r="Q8" s="2"/>
      <c r="R8" s="2"/>
      <c r="S8" s="2"/>
      <c r="T8" s="90"/>
      <c r="U8" s="90"/>
      <c r="V8" s="90"/>
      <c r="W8" s="6"/>
    </row>
    <row r="9" spans="1:27" x14ac:dyDescent="0.35">
      <c r="D9" s="2"/>
      <c r="E9" s="547"/>
      <c r="F9" s="89"/>
      <c r="H9" s="2"/>
      <c r="M9" s="90"/>
      <c r="N9" s="218"/>
      <c r="O9" s="2"/>
      <c r="P9" s="2"/>
      <c r="Q9" s="2"/>
      <c r="R9" s="2"/>
      <c r="S9" s="2"/>
      <c r="T9" s="90"/>
      <c r="U9" s="90"/>
      <c r="V9" s="90"/>
      <c r="W9" s="6"/>
    </row>
    <row r="10" spans="1:27" x14ac:dyDescent="0.35">
      <c r="D10" s="2"/>
      <c r="E10" s="547"/>
      <c r="F10" s="89"/>
      <c r="H10" s="2"/>
      <c r="M10" s="90"/>
      <c r="N10" s="218"/>
      <c r="O10" s="2"/>
      <c r="P10" s="2"/>
      <c r="Q10" s="2"/>
      <c r="R10" s="2"/>
      <c r="S10" s="2"/>
      <c r="T10" s="90"/>
      <c r="U10" s="90"/>
      <c r="V10" s="90"/>
      <c r="W10" s="6"/>
    </row>
    <row r="11" spans="1:27" x14ac:dyDescent="0.35">
      <c r="D11" s="2"/>
      <c r="E11" s="547"/>
      <c r="F11" s="89"/>
      <c r="H11" s="2"/>
      <c r="M11" s="90"/>
      <c r="N11" s="218"/>
      <c r="O11" s="2"/>
      <c r="P11" s="2"/>
      <c r="Q11" s="2"/>
      <c r="R11" s="2"/>
      <c r="S11" s="2"/>
      <c r="T11" s="90"/>
      <c r="U11" s="90"/>
      <c r="V11" s="90"/>
      <c r="W11" s="6"/>
    </row>
    <row r="12" spans="1:27" x14ac:dyDescent="0.35">
      <c r="D12" s="2"/>
      <c r="E12" s="547"/>
      <c r="F12" s="89"/>
      <c r="H12" s="2"/>
      <c r="M12" s="90"/>
      <c r="N12" s="218"/>
      <c r="O12" s="2"/>
      <c r="P12" s="2"/>
      <c r="Q12" s="2"/>
      <c r="R12" s="2"/>
      <c r="S12" s="2"/>
      <c r="T12" s="90"/>
      <c r="U12" s="90"/>
      <c r="V12" s="90"/>
      <c r="W12" s="6"/>
    </row>
    <row r="13" spans="1:27" x14ac:dyDescent="0.35">
      <c r="D13" s="2"/>
      <c r="E13" s="547"/>
      <c r="F13" s="89"/>
      <c r="H13" s="2"/>
      <c r="M13" s="90"/>
      <c r="N13" s="218"/>
      <c r="O13" s="2"/>
      <c r="P13" s="2"/>
      <c r="Q13" s="2"/>
      <c r="R13" s="2"/>
      <c r="S13" s="2"/>
      <c r="T13" s="90"/>
      <c r="U13" s="90"/>
      <c r="V13" s="90"/>
      <c r="W13" s="6"/>
    </row>
    <row r="14" spans="1:27" x14ac:dyDescent="0.35">
      <c r="D14" s="2"/>
      <c r="E14" s="547"/>
      <c r="F14" s="89"/>
      <c r="H14" s="2"/>
      <c r="M14" s="90"/>
      <c r="N14" s="218"/>
      <c r="O14" s="2"/>
      <c r="P14" s="2"/>
      <c r="Q14" s="2"/>
      <c r="R14" s="2"/>
      <c r="S14" s="2"/>
      <c r="T14" s="90"/>
      <c r="U14" s="90"/>
      <c r="V14" s="90"/>
      <c r="W14" s="6"/>
    </row>
    <row r="15" spans="1:27" x14ac:dyDescent="0.35">
      <c r="D15" s="2"/>
      <c r="E15" s="547"/>
      <c r="F15" s="89"/>
      <c r="H15" s="2"/>
      <c r="M15" s="90"/>
      <c r="N15" s="218"/>
      <c r="O15" s="2"/>
      <c r="P15" s="2"/>
      <c r="Q15" s="2"/>
      <c r="R15" s="2"/>
      <c r="S15" s="2"/>
      <c r="T15" s="90"/>
      <c r="U15" s="90"/>
      <c r="V15" s="90"/>
      <c r="W15" s="6"/>
    </row>
    <row r="16" spans="1:27" x14ac:dyDescent="0.35">
      <c r="D16" s="2"/>
      <c r="E16" s="547"/>
      <c r="F16" s="89"/>
      <c r="H16" s="2"/>
      <c r="M16" s="90"/>
      <c r="N16" s="218"/>
      <c r="O16" s="2"/>
      <c r="P16" s="2"/>
      <c r="Q16" s="2"/>
      <c r="R16" s="2"/>
      <c r="S16" s="2"/>
      <c r="T16" s="90"/>
      <c r="U16" s="90"/>
      <c r="V16" s="90"/>
      <c r="W16" s="6"/>
    </row>
    <row r="17" spans="4:23" x14ac:dyDescent="0.35">
      <c r="D17" s="2"/>
      <c r="E17" s="547"/>
      <c r="F17" s="89"/>
      <c r="H17" s="2"/>
      <c r="M17" s="90"/>
      <c r="N17" s="218"/>
      <c r="O17" s="2"/>
      <c r="P17" s="2"/>
      <c r="Q17" s="2"/>
      <c r="R17" s="2"/>
      <c r="S17" s="2"/>
      <c r="T17" s="90"/>
      <c r="U17" s="90"/>
      <c r="V17" s="90"/>
      <c r="W17" s="6"/>
    </row>
    <row r="18" spans="4:23" x14ac:dyDescent="0.35">
      <c r="D18" s="2"/>
      <c r="E18" s="547"/>
      <c r="F18" s="89"/>
      <c r="H18" s="2"/>
      <c r="M18" s="90"/>
      <c r="N18" s="218"/>
      <c r="O18" s="2"/>
      <c r="P18" s="2"/>
      <c r="Q18" s="2"/>
      <c r="R18" s="2"/>
      <c r="S18" s="2"/>
      <c r="T18" s="90"/>
      <c r="U18" s="90"/>
      <c r="V18" s="90"/>
      <c r="W18" s="6"/>
    </row>
    <row r="19" spans="4:23" x14ac:dyDescent="0.35">
      <c r="D19" s="2"/>
      <c r="E19" s="547"/>
      <c r="F19" s="89"/>
      <c r="H19" s="2"/>
      <c r="M19" s="90"/>
      <c r="N19" s="218"/>
      <c r="O19" s="2"/>
      <c r="P19" s="2"/>
      <c r="Q19" s="2"/>
      <c r="R19" s="2"/>
      <c r="S19" s="2"/>
      <c r="T19" s="90"/>
      <c r="U19" s="90"/>
      <c r="V19" s="90"/>
      <c r="W19" s="6"/>
    </row>
    <row r="20" spans="4:23" x14ac:dyDescent="0.35">
      <c r="D20" s="2"/>
      <c r="E20" s="547"/>
      <c r="F20" s="89"/>
      <c r="H20" s="2"/>
      <c r="M20" s="90"/>
      <c r="N20" s="218"/>
      <c r="O20" s="2"/>
      <c r="P20" s="2"/>
      <c r="Q20" s="2"/>
      <c r="R20" s="2"/>
      <c r="S20" s="2"/>
      <c r="T20" s="90"/>
      <c r="U20" s="90"/>
      <c r="V20" s="90"/>
      <c r="W20" s="6"/>
    </row>
    <row r="21" spans="4:23" x14ac:dyDescent="0.35">
      <c r="D21" s="2"/>
      <c r="E21" s="547"/>
      <c r="F21" s="89"/>
      <c r="H21" s="2"/>
      <c r="M21" s="90"/>
      <c r="N21" s="218"/>
      <c r="O21" s="2"/>
      <c r="P21" s="2"/>
      <c r="Q21" s="2"/>
      <c r="R21" s="2"/>
      <c r="S21" s="2"/>
      <c r="T21" s="90"/>
      <c r="U21" s="90"/>
      <c r="V21" s="90"/>
      <c r="W21" s="6"/>
    </row>
    <row r="22" spans="4:23" x14ac:dyDescent="0.35">
      <c r="D22" s="2"/>
      <c r="E22" s="547"/>
      <c r="F22" s="89"/>
      <c r="H22" s="2"/>
      <c r="M22" s="90"/>
      <c r="N22" s="218"/>
      <c r="O22" s="2"/>
      <c r="P22" s="2"/>
      <c r="Q22" s="2"/>
      <c r="R22" s="2"/>
      <c r="S22" s="2"/>
      <c r="T22" s="90"/>
      <c r="U22" s="90"/>
      <c r="V22" s="90"/>
      <c r="W22" s="6"/>
    </row>
    <row r="23" spans="4:23" x14ac:dyDescent="0.35">
      <c r="D23" s="2"/>
      <c r="E23" s="547"/>
      <c r="F23" s="89"/>
      <c r="H23" s="2"/>
      <c r="M23" s="90"/>
      <c r="N23" s="218"/>
      <c r="O23" s="2"/>
      <c r="P23" s="2"/>
      <c r="Q23" s="2"/>
      <c r="R23" s="2"/>
      <c r="S23" s="2"/>
      <c r="T23" s="90"/>
      <c r="U23" s="90"/>
      <c r="V23" s="90"/>
      <c r="W23" s="6"/>
    </row>
    <row r="24" spans="4:23" x14ac:dyDescent="0.35">
      <c r="D24" s="2"/>
      <c r="E24" s="547"/>
      <c r="F24" s="89"/>
      <c r="H24" s="2"/>
      <c r="M24" s="90"/>
      <c r="N24" s="218"/>
      <c r="O24" s="2"/>
      <c r="P24" s="2"/>
      <c r="Q24" s="2"/>
      <c r="R24" s="2"/>
      <c r="S24" s="2"/>
      <c r="T24" s="90"/>
      <c r="U24" s="90"/>
      <c r="V24" s="90"/>
      <c r="W24" s="6"/>
    </row>
    <row r="25" spans="4:23" x14ac:dyDescent="0.35">
      <c r="D25" s="2"/>
      <c r="E25" s="547"/>
      <c r="F25" s="89"/>
      <c r="H25" s="2"/>
      <c r="M25" s="90"/>
      <c r="N25" s="218"/>
      <c r="O25" s="2"/>
      <c r="P25" s="2"/>
      <c r="Q25" s="2"/>
      <c r="R25" s="2"/>
      <c r="S25" s="2"/>
      <c r="T25" s="90"/>
      <c r="U25" s="90"/>
      <c r="V25" s="90"/>
      <c r="W25" s="6"/>
    </row>
    <row r="26" spans="4:23" x14ac:dyDescent="0.35">
      <c r="D26" s="2"/>
      <c r="E26" s="547"/>
      <c r="F26" s="89"/>
      <c r="H26" s="2"/>
      <c r="M26" s="90"/>
      <c r="N26" s="218"/>
      <c r="O26" s="2"/>
      <c r="P26" s="2"/>
      <c r="Q26" s="2"/>
      <c r="R26" s="2"/>
      <c r="S26" s="2"/>
      <c r="T26" s="90"/>
      <c r="U26" s="90"/>
      <c r="V26" s="90"/>
      <c r="W26" s="6"/>
    </row>
    <row r="27" spans="4:23" x14ac:dyDescent="0.35">
      <c r="D27" s="2"/>
      <c r="E27" s="547"/>
      <c r="F27" s="89"/>
      <c r="H27" s="2"/>
      <c r="M27" s="90"/>
      <c r="N27" s="218"/>
      <c r="O27" s="2"/>
      <c r="P27" s="2"/>
      <c r="Q27" s="2"/>
      <c r="R27" s="2"/>
      <c r="S27" s="2"/>
      <c r="T27" s="90"/>
      <c r="U27" s="90"/>
      <c r="V27" s="90"/>
      <c r="W27" s="6"/>
    </row>
    <row r="28" spans="4:23" x14ac:dyDescent="0.35">
      <c r="D28" s="2"/>
      <c r="E28" s="547"/>
      <c r="F28" s="89"/>
      <c r="H28" s="2"/>
      <c r="M28" s="90"/>
      <c r="N28" s="218"/>
      <c r="O28" s="2"/>
      <c r="P28" s="2"/>
      <c r="Q28" s="2"/>
      <c r="R28" s="2"/>
      <c r="S28" s="2"/>
      <c r="T28" s="90"/>
      <c r="U28" s="90"/>
      <c r="V28" s="90"/>
      <c r="W28" s="6"/>
    </row>
    <row r="29" spans="4:23" x14ac:dyDescent="0.35">
      <c r="D29" s="2"/>
      <c r="E29" s="547"/>
      <c r="F29" s="89"/>
      <c r="H29" s="2"/>
      <c r="M29" s="90"/>
      <c r="N29" s="218"/>
      <c r="O29" s="2"/>
      <c r="P29" s="2"/>
      <c r="Q29" s="2"/>
      <c r="R29" s="2"/>
      <c r="S29" s="2"/>
      <c r="T29" s="90"/>
      <c r="U29" s="90"/>
      <c r="V29" s="90"/>
      <c r="W29" s="6"/>
    </row>
    <row r="30" spans="4:23" x14ac:dyDescent="0.35">
      <c r="D30" s="2"/>
      <c r="E30" s="547"/>
      <c r="F30" s="89"/>
      <c r="H30" s="2"/>
      <c r="M30" s="90"/>
      <c r="N30" s="218"/>
      <c r="O30" s="2"/>
      <c r="P30" s="2"/>
      <c r="Q30" s="2"/>
      <c r="R30" s="2"/>
      <c r="S30" s="2"/>
      <c r="T30" s="90"/>
      <c r="U30" s="90"/>
      <c r="V30" s="90"/>
      <c r="W30" s="6"/>
    </row>
    <row r="31" spans="4:23" x14ac:dyDescent="0.35">
      <c r="D31" s="2"/>
      <c r="E31" s="547"/>
      <c r="F31" s="89"/>
      <c r="H31" s="2"/>
      <c r="M31" s="90"/>
      <c r="N31" s="218"/>
      <c r="O31" s="2"/>
      <c r="P31" s="2"/>
      <c r="Q31" s="2"/>
      <c r="R31" s="2"/>
      <c r="S31" s="2"/>
      <c r="T31" s="90"/>
      <c r="U31" s="90"/>
      <c r="V31" s="90"/>
      <c r="W31" s="6"/>
    </row>
    <row r="32" spans="4:23" x14ac:dyDescent="0.35">
      <c r="D32" s="2"/>
      <c r="E32" s="547"/>
      <c r="F32" s="89"/>
      <c r="H32" s="2"/>
      <c r="M32" s="90"/>
      <c r="N32" s="218"/>
      <c r="O32" s="2"/>
      <c r="P32" s="2"/>
      <c r="Q32" s="2"/>
      <c r="R32" s="2"/>
      <c r="S32" s="2"/>
      <c r="T32" s="90"/>
      <c r="U32" s="90"/>
      <c r="V32" s="90"/>
      <c r="W32" s="6"/>
    </row>
    <row r="33" spans="4:23" x14ac:dyDescent="0.35">
      <c r="D33" s="2"/>
      <c r="E33" s="547"/>
      <c r="F33" s="89"/>
      <c r="H33" s="2"/>
      <c r="M33" s="90"/>
      <c r="N33" s="218"/>
      <c r="O33" s="2"/>
      <c r="P33" s="2"/>
      <c r="Q33" s="2"/>
      <c r="R33" s="2"/>
      <c r="S33" s="2"/>
      <c r="T33" s="90"/>
      <c r="U33" s="90"/>
      <c r="V33" s="90"/>
      <c r="W33" s="6"/>
    </row>
    <row r="34" spans="4:23" x14ac:dyDescent="0.35">
      <c r="D34" s="2"/>
      <c r="E34" s="547"/>
      <c r="F34" s="89"/>
      <c r="H34" s="2"/>
      <c r="M34" s="90"/>
      <c r="N34" s="218"/>
      <c r="O34" s="2"/>
      <c r="P34" s="2"/>
      <c r="Q34" s="2"/>
      <c r="R34" s="2"/>
      <c r="S34" s="2"/>
      <c r="T34" s="90"/>
      <c r="U34" s="90"/>
      <c r="V34" s="90"/>
      <c r="W34" s="6"/>
    </row>
    <row r="35" spans="4:23" x14ac:dyDescent="0.35">
      <c r="D35" s="2"/>
      <c r="E35" s="547"/>
      <c r="F35" s="89"/>
      <c r="H35" s="2"/>
      <c r="M35" s="90"/>
      <c r="N35" s="218"/>
      <c r="O35" s="2"/>
      <c r="P35" s="2"/>
      <c r="Q35" s="2"/>
      <c r="R35" s="2"/>
      <c r="S35" s="2"/>
      <c r="T35" s="90"/>
      <c r="U35" s="90"/>
      <c r="V35" s="90"/>
      <c r="W35" s="6"/>
    </row>
    <row r="36" spans="4:23" x14ac:dyDescent="0.35">
      <c r="D36" s="2"/>
      <c r="E36" s="547"/>
      <c r="F36" s="89"/>
      <c r="H36" s="2"/>
      <c r="M36" s="90"/>
      <c r="N36" s="218"/>
      <c r="O36" s="2"/>
      <c r="P36" s="2"/>
      <c r="Q36" s="2"/>
      <c r="R36" s="2"/>
      <c r="S36" s="2"/>
      <c r="T36" s="90"/>
      <c r="U36" s="90"/>
      <c r="V36" s="90"/>
      <c r="W36" s="6"/>
    </row>
    <row r="37" spans="4:23" x14ac:dyDescent="0.35">
      <c r="D37" s="2"/>
      <c r="E37" s="547"/>
      <c r="F37" s="89"/>
      <c r="H37" s="2"/>
      <c r="M37" s="90"/>
      <c r="N37" s="218"/>
      <c r="O37" s="2"/>
      <c r="P37" s="2"/>
      <c r="Q37" s="2"/>
      <c r="R37" s="2"/>
      <c r="S37" s="2"/>
      <c r="T37" s="90"/>
      <c r="U37" s="90"/>
      <c r="V37" s="90"/>
      <c r="W37" s="6"/>
    </row>
    <row r="38" spans="4:23" x14ac:dyDescent="0.35">
      <c r="D38" s="2"/>
      <c r="E38" s="547"/>
      <c r="F38" s="89"/>
      <c r="H38" s="2"/>
      <c r="M38" s="90"/>
      <c r="N38" s="218"/>
      <c r="O38" s="2"/>
      <c r="P38" s="2"/>
      <c r="Q38" s="2"/>
      <c r="R38" s="2"/>
      <c r="S38" s="2"/>
      <c r="T38" s="90"/>
      <c r="U38" s="90"/>
      <c r="V38" s="90"/>
      <c r="W38" s="6"/>
    </row>
    <row r="39" spans="4:23" x14ac:dyDescent="0.35">
      <c r="D39" s="2"/>
      <c r="E39" s="547"/>
      <c r="F39" s="89"/>
      <c r="H39" s="2"/>
      <c r="M39" s="90"/>
      <c r="N39" s="218"/>
      <c r="O39" s="2"/>
      <c r="P39" s="2"/>
      <c r="Q39" s="2"/>
      <c r="R39" s="2"/>
      <c r="S39" s="2"/>
      <c r="T39" s="90"/>
      <c r="U39" s="90"/>
      <c r="V39" s="90"/>
      <c r="W39" s="6"/>
    </row>
    <row r="40" spans="4:23" x14ac:dyDescent="0.35">
      <c r="D40" s="2"/>
      <c r="E40" s="547"/>
      <c r="F40" s="89"/>
      <c r="H40" s="2"/>
      <c r="M40" s="90"/>
      <c r="N40" s="218"/>
      <c r="O40" s="2"/>
      <c r="P40" s="2"/>
      <c r="Q40" s="2"/>
      <c r="R40" s="2"/>
      <c r="S40" s="2"/>
      <c r="T40" s="90"/>
      <c r="U40" s="90"/>
      <c r="V40" s="90"/>
      <c r="W40" s="6"/>
    </row>
    <row r="41" spans="4:23" x14ac:dyDescent="0.35">
      <c r="D41" s="2"/>
      <c r="E41" s="547"/>
      <c r="F41" s="89"/>
      <c r="H41" s="2"/>
      <c r="M41" s="90"/>
      <c r="N41" s="218"/>
      <c r="O41" s="2"/>
      <c r="P41" s="2"/>
      <c r="Q41" s="2"/>
      <c r="R41" s="2"/>
      <c r="S41" s="2"/>
      <c r="T41" s="90"/>
      <c r="U41" s="90"/>
      <c r="V41" s="90"/>
      <c r="W41" s="6"/>
    </row>
    <row r="42" spans="4:23" x14ac:dyDescent="0.35">
      <c r="D42" s="2"/>
      <c r="E42" s="547"/>
      <c r="F42" s="89"/>
      <c r="H42" s="2"/>
      <c r="M42" s="90"/>
      <c r="N42" s="218"/>
      <c r="O42" s="2"/>
      <c r="P42" s="2"/>
      <c r="Q42" s="2"/>
      <c r="R42" s="2"/>
      <c r="S42" s="2"/>
      <c r="T42" s="90"/>
      <c r="U42" s="90"/>
      <c r="V42" s="90"/>
      <c r="W42" s="6"/>
    </row>
    <row r="43" spans="4:23" x14ac:dyDescent="0.35">
      <c r="D43" s="2"/>
      <c r="E43" s="547"/>
      <c r="F43" s="89"/>
      <c r="H43" s="2"/>
      <c r="M43" s="90"/>
      <c r="N43" s="218"/>
      <c r="O43" s="2"/>
      <c r="P43" s="2"/>
      <c r="Q43" s="2"/>
      <c r="R43" s="2"/>
      <c r="S43" s="2"/>
      <c r="T43" s="90"/>
      <c r="U43" s="90"/>
      <c r="V43" s="90"/>
      <c r="W43" s="6"/>
    </row>
    <row r="44" spans="4:23" x14ac:dyDescent="0.35">
      <c r="D44" s="2"/>
      <c r="E44" s="547"/>
      <c r="F44" s="89"/>
      <c r="H44" s="2"/>
      <c r="M44" s="90"/>
      <c r="N44" s="218"/>
      <c r="O44" s="2"/>
      <c r="P44" s="2"/>
      <c r="Q44" s="2"/>
      <c r="R44" s="2"/>
      <c r="S44" s="2"/>
      <c r="T44" s="90"/>
      <c r="U44" s="90"/>
      <c r="V44" s="90"/>
      <c r="W44" s="6"/>
    </row>
    <row r="45" spans="4:23" x14ac:dyDescent="0.35">
      <c r="D45" s="2"/>
      <c r="E45" s="547"/>
      <c r="F45" s="89"/>
      <c r="H45" s="2"/>
      <c r="M45" s="90"/>
      <c r="N45" s="218"/>
      <c r="O45" s="2"/>
      <c r="P45" s="2"/>
      <c r="Q45" s="2"/>
      <c r="R45" s="2"/>
      <c r="S45" s="2"/>
      <c r="T45" s="90"/>
      <c r="U45" s="90"/>
      <c r="V45" s="90"/>
      <c r="W45" s="6"/>
    </row>
    <row r="46" spans="4:23" x14ac:dyDescent="0.35">
      <c r="D46" s="2"/>
      <c r="E46" s="547"/>
      <c r="F46" s="89"/>
      <c r="H46" s="2"/>
      <c r="M46" s="90"/>
      <c r="N46" s="218"/>
      <c r="O46" s="2"/>
      <c r="P46" s="2"/>
      <c r="Q46" s="2"/>
      <c r="R46" s="2"/>
      <c r="S46" s="2"/>
      <c r="T46" s="90"/>
      <c r="U46" s="90"/>
      <c r="V46" s="90"/>
      <c r="W46" s="6"/>
    </row>
    <row r="47" spans="4:23" x14ac:dyDescent="0.35">
      <c r="D47" s="2"/>
      <c r="E47" s="547"/>
      <c r="F47" s="89"/>
      <c r="H47" s="2"/>
      <c r="M47" s="90"/>
      <c r="N47" s="218"/>
      <c r="O47" s="2"/>
      <c r="P47" s="2"/>
      <c r="Q47" s="2"/>
      <c r="R47" s="2"/>
      <c r="S47" s="2"/>
      <c r="T47" s="90"/>
      <c r="U47" s="90"/>
      <c r="V47" s="90"/>
      <c r="W47" s="6"/>
    </row>
    <row r="48" spans="4:23" x14ac:dyDescent="0.35">
      <c r="D48" s="2"/>
      <c r="E48" s="547"/>
      <c r="F48" s="89"/>
      <c r="H48" s="2"/>
      <c r="M48" s="90"/>
      <c r="N48" s="218"/>
      <c r="O48" s="2"/>
      <c r="P48" s="2"/>
      <c r="Q48" s="2"/>
      <c r="R48" s="2"/>
      <c r="S48" s="2"/>
      <c r="T48" s="90"/>
      <c r="U48" s="90"/>
      <c r="V48" s="90"/>
      <c r="W48" s="6"/>
    </row>
    <row r="49" spans="4:23" x14ac:dyDescent="0.35">
      <c r="D49" s="2"/>
      <c r="E49" s="547"/>
      <c r="F49" s="89"/>
      <c r="H49" s="2"/>
      <c r="M49" s="90"/>
      <c r="N49" s="218"/>
      <c r="O49" s="2"/>
      <c r="P49" s="2"/>
      <c r="Q49" s="2"/>
      <c r="R49" s="2"/>
      <c r="S49" s="2"/>
      <c r="T49" s="90"/>
      <c r="U49" s="90"/>
      <c r="V49" s="90"/>
      <c r="W49" s="6"/>
    </row>
    <row r="50" spans="4:23" x14ac:dyDescent="0.35">
      <c r="D50" s="2"/>
      <c r="E50" s="547"/>
      <c r="F50" s="89"/>
      <c r="H50" s="2"/>
      <c r="M50" s="90"/>
      <c r="N50" s="218"/>
      <c r="O50" s="2"/>
      <c r="P50" s="2"/>
      <c r="Q50" s="2"/>
      <c r="R50" s="2"/>
      <c r="S50" s="2"/>
      <c r="T50" s="90"/>
      <c r="U50" s="90"/>
      <c r="V50" s="90"/>
      <c r="W50" s="6"/>
    </row>
    <row r="51" spans="4:23" x14ac:dyDescent="0.35">
      <c r="D51" s="2"/>
      <c r="E51" s="547"/>
      <c r="F51" s="89"/>
      <c r="H51" s="2"/>
      <c r="M51" s="90"/>
      <c r="N51" s="218"/>
      <c r="O51" s="2"/>
      <c r="P51" s="2"/>
      <c r="Q51" s="2"/>
      <c r="R51" s="2"/>
      <c r="S51" s="2"/>
      <c r="T51" s="90"/>
      <c r="U51" s="90"/>
      <c r="V51" s="90"/>
      <c r="W51" s="6"/>
    </row>
    <row r="52" spans="4:23" x14ac:dyDescent="0.35">
      <c r="D52" s="2"/>
      <c r="E52" s="547"/>
      <c r="F52" s="89"/>
      <c r="H52" s="2"/>
      <c r="M52" s="90"/>
      <c r="N52" s="218"/>
      <c r="O52" s="2"/>
      <c r="P52" s="2"/>
      <c r="Q52" s="2"/>
      <c r="R52" s="2"/>
      <c r="S52" s="2"/>
      <c r="T52" s="90"/>
      <c r="U52" s="90"/>
      <c r="V52" s="90"/>
      <c r="W52" s="6"/>
    </row>
    <row r="53" spans="4:23" x14ac:dyDescent="0.35">
      <c r="D53" s="2"/>
      <c r="E53" s="547"/>
      <c r="F53" s="89"/>
      <c r="H53" s="2"/>
      <c r="M53" s="90"/>
      <c r="N53" s="218"/>
      <c r="O53" s="2"/>
      <c r="P53" s="2"/>
      <c r="Q53" s="2"/>
      <c r="R53" s="2"/>
      <c r="S53" s="2"/>
      <c r="T53" s="90"/>
      <c r="U53" s="90"/>
      <c r="V53" s="90"/>
      <c r="W53" s="6"/>
    </row>
    <row r="54" spans="4:23" x14ac:dyDescent="0.35">
      <c r="D54" s="2"/>
      <c r="E54" s="547"/>
      <c r="F54" s="89"/>
      <c r="H54" s="2"/>
      <c r="M54" s="90"/>
      <c r="N54" s="218"/>
      <c r="O54" s="2"/>
      <c r="P54" s="2"/>
      <c r="Q54" s="2"/>
      <c r="R54" s="2"/>
      <c r="S54" s="2"/>
      <c r="T54" s="90"/>
      <c r="U54" s="90"/>
      <c r="V54" s="90"/>
      <c r="W54" s="6"/>
    </row>
    <row r="55" spans="4:23" x14ac:dyDescent="0.35">
      <c r="D55" s="2"/>
      <c r="E55" s="547"/>
      <c r="F55" s="89"/>
      <c r="H55" s="2"/>
      <c r="M55" s="90"/>
      <c r="N55" s="218"/>
      <c r="O55" s="2"/>
      <c r="P55" s="2"/>
      <c r="Q55" s="2"/>
      <c r="R55" s="2"/>
      <c r="S55" s="2"/>
      <c r="T55" s="90"/>
      <c r="U55" s="90"/>
      <c r="V55" s="90"/>
      <c r="W55" s="6"/>
    </row>
    <row r="56" spans="4:23" x14ac:dyDescent="0.35">
      <c r="D56" s="2"/>
      <c r="E56" s="547"/>
      <c r="F56" s="89"/>
      <c r="H56" s="2"/>
      <c r="M56" s="90"/>
      <c r="N56" s="218"/>
      <c r="O56" s="2"/>
      <c r="P56" s="2"/>
      <c r="Q56" s="2"/>
      <c r="R56" s="2"/>
      <c r="S56" s="2"/>
      <c r="T56" s="90"/>
      <c r="U56" s="90"/>
      <c r="V56" s="90"/>
      <c r="W56" s="6"/>
    </row>
    <row r="57" spans="4:23" x14ac:dyDescent="0.35">
      <c r="D57" s="2"/>
      <c r="E57" s="547"/>
      <c r="F57" s="89"/>
      <c r="H57" s="2"/>
      <c r="M57" s="90"/>
      <c r="N57" s="218"/>
      <c r="O57" s="2"/>
      <c r="P57" s="2"/>
      <c r="Q57" s="2"/>
      <c r="R57" s="2"/>
      <c r="S57" s="2"/>
      <c r="T57" s="90"/>
      <c r="U57" s="90"/>
      <c r="V57" s="90"/>
      <c r="W57" s="6"/>
    </row>
    <row r="58" spans="4:23" x14ac:dyDescent="0.35">
      <c r="D58" s="2"/>
      <c r="E58" s="547"/>
      <c r="F58" s="89"/>
      <c r="H58" s="2"/>
      <c r="M58" s="90"/>
      <c r="N58" s="218"/>
      <c r="O58" s="2"/>
      <c r="P58" s="2"/>
      <c r="Q58" s="2"/>
      <c r="R58" s="2"/>
      <c r="S58" s="2"/>
      <c r="T58" s="90"/>
      <c r="U58" s="90"/>
      <c r="V58" s="90"/>
      <c r="W58" s="6"/>
    </row>
    <row r="59" spans="4:23" x14ac:dyDescent="0.35">
      <c r="D59" s="2"/>
      <c r="E59" s="547"/>
      <c r="F59" s="89"/>
      <c r="H59" s="2"/>
      <c r="M59" s="90"/>
      <c r="N59" s="218"/>
      <c r="O59" s="2"/>
      <c r="P59" s="2"/>
      <c r="Q59" s="2"/>
      <c r="R59" s="2"/>
      <c r="S59" s="2"/>
      <c r="T59" s="90"/>
      <c r="U59" s="90"/>
      <c r="V59" s="90"/>
      <c r="W59" s="6"/>
    </row>
    <row r="60" spans="4:23" x14ac:dyDescent="0.35">
      <c r="D60" s="2"/>
      <c r="E60" s="547"/>
      <c r="F60" s="89"/>
      <c r="H60" s="2"/>
      <c r="M60" s="90"/>
      <c r="N60" s="218"/>
      <c r="O60" s="2"/>
      <c r="P60" s="2"/>
      <c r="Q60" s="2"/>
      <c r="R60" s="2"/>
      <c r="S60" s="2"/>
      <c r="T60" s="90"/>
      <c r="U60" s="90"/>
      <c r="V60" s="90"/>
      <c r="W60" s="6"/>
    </row>
    <row r="61" spans="4:23" x14ac:dyDescent="0.35">
      <c r="D61" s="2"/>
      <c r="E61" s="547"/>
      <c r="F61" s="89"/>
      <c r="H61" s="2"/>
      <c r="M61" s="90"/>
      <c r="N61" s="218"/>
      <c r="O61" s="2"/>
      <c r="P61" s="2"/>
      <c r="Q61" s="2"/>
      <c r="R61" s="2"/>
      <c r="S61" s="2"/>
      <c r="T61" s="90"/>
      <c r="U61" s="90"/>
      <c r="V61" s="90"/>
      <c r="W61" s="6"/>
    </row>
    <row r="62" spans="4:23" x14ac:dyDescent="0.35">
      <c r="D62" s="2"/>
      <c r="E62" s="547"/>
      <c r="F62" s="89"/>
      <c r="H62" s="2"/>
      <c r="M62" s="90"/>
      <c r="N62" s="218"/>
      <c r="O62" s="2"/>
      <c r="P62" s="2"/>
      <c r="Q62" s="2"/>
      <c r="R62" s="2"/>
      <c r="S62" s="2"/>
      <c r="T62" s="90"/>
      <c r="U62" s="90"/>
      <c r="V62" s="90"/>
      <c r="W62" s="6"/>
    </row>
    <row r="63" spans="4:23" x14ac:dyDescent="0.35">
      <c r="D63" s="2"/>
      <c r="E63" s="547"/>
      <c r="F63" s="89"/>
      <c r="H63" s="2"/>
      <c r="M63" s="90"/>
      <c r="N63" s="218"/>
      <c r="O63" s="2"/>
      <c r="P63" s="2"/>
      <c r="Q63" s="2"/>
      <c r="R63" s="2"/>
      <c r="S63" s="2"/>
      <c r="T63" s="90"/>
      <c r="U63" s="90"/>
      <c r="V63" s="90"/>
      <c r="W63" s="6"/>
    </row>
    <row r="64" spans="4:23" x14ac:dyDescent="0.35">
      <c r="D64" s="2"/>
      <c r="E64" s="547"/>
      <c r="F64" s="89"/>
      <c r="H64" s="2"/>
      <c r="M64" s="90"/>
      <c r="N64" s="218"/>
      <c r="O64" s="2"/>
      <c r="P64" s="2"/>
      <c r="Q64" s="2"/>
      <c r="R64" s="2"/>
      <c r="S64" s="2"/>
      <c r="T64" s="90"/>
      <c r="U64" s="90"/>
      <c r="V64" s="90"/>
      <c r="W64" s="6"/>
    </row>
    <row r="65" spans="4:23" x14ac:dyDescent="0.35">
      <c r="D65" s="2"/>
      <c r="E65" s="547"/>
      <c r="F65" s="89"/>
      <c r="H65" s="2"/>
      <c r="M65" s="90"/>
      <c r="N65" s="218"/>
      <c r="O65" s="2"/>
      <c r="P65" s="2"/>
      <c r="Q65" s="2"/>
      <c r="R65" s="2"/>
      <c r="S65" s="2"/>
      <c r="T65" s="90"/>
      <c r="U65" s="90"/>
      <c r="V65" s="90"/>
      <c r="W65" s="6"/>
    </row>
    <row r="66" spans="4:23" x14ac:dyDescent="0.35">
      <c r="D66" s="2"/>
      <c r="E66" s="547"/>
      <c r="F66" s="89"/>
      <c r="H66" s="2"/>
      <c r="M66" s="90"/>
      <c r="N66" s="218"/>
      <c r="O66" s="2"/>
      <c r="P66" s="2"/>
      <c r="Q66" s="2"/>
      <c r="R66" s="2"/>
      <c r="S66" s="2"/>
      <c r="T66" s="90"/>
      <c r="U66" s="90"/>
      <c r="V66" s="90"/>
      <c r="W66" s="6"/>
    </row>
    <row r="67" spans="4:23" x14ac:dyDescent="0.35">
      <c r="D67" s="2"/>
      <c r="E67" s="547"/>
      <c r="F67" s="89"/>
      <c r="H67" s="2"/>
      <c r="M67" s="90"/>
      <c r="N67" s="218"/>
      <c r="O67" s="2"/>
      <c r="P67" s="2"/>
      <c r="Q67" s="2"/>
      <c r="R67" s="2"/>
      <c r="S67" s="2"/>
      <c r="T67" s="90"/>
      <c r="U67" s="90"/>
      <c r="V67" s="90"/>
      <c r="W67" s="6"/>
    </row>
    <row r="68" spans="4:23" x14ac:dyDescent="0.35">
      <c r="D68" s="2"/>
      <c r="E68" s="547"/>
      <c r="F68" s="89"/>
      <c r="H68" s="2"/>
      <c r="M68" s="90"/>
      <c r="N68" s="218"/>
      <c r="O68" s="2"/>
      <c r="P68" s="2"/>
      <c r="Q68" s="2"/>
      <c r="R68" s="2"/>
      <c r="S68" s="2"/>
      <c r="T68" s="90"/>
      <c r="U68" s="90"/>
      <c r="V68" s="90"/>
      <c r="W68" s="6"/>
    </row>
    <row r="69" spans="4:23" x14ac:dyDescent="0.35">
      <c r="D69" s="2"/>
      <c r="E69" s="547"/>
      <c r="F69" s="89"/>
      <c r="H69" s="2"/>
      <c r="M69" s="90"/>
      <c r="N69" s="218"/>
      <c r="O69" s="2"/>
      <c r="P69" s="2"/>
      <c r="Q69" s="2"/>
      <c r="R69" s="2"/>
      <c r="S69" s="2"/>
      <c r="T69" s="90"/>
      <c r="U69" s="90"/>
      <c r="V69" s="90"/>
      <c r="W69" s="6"/>
    </row>
    <row r="70" spans="4:23" x14ac:dyDescent="0.35">
      <c r="D70" s="2"/>
      <c r="E70" s="547"/>
      <c r="F70" s="89"/>
      <c r="H70" s="2"/>
      <c r="M70" s="90"/>
      <c r="N70" s="218"/>
      <c r="O70" s="2"/>
      <c r="P70" s="2"/>
      <c r="Q70" s="2"/>
      <c r="R70" s="2"/>
      <c r="S70" s="2"/>
      <c r="T70" s="90"/>
      <c r="U70" s="90"/>
      <c r="V70" s="90"/>
      <c r="W70" s="6"/>
    </row>
  </sheetData>
  <sortState xmlns:xlrd2="http://schemas.microsoft.com/office/spreadsheetml/2017/richdata2" ref="A2:W10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265625" defaultRowHeight="12.5" x14ac:dyDescent="0.35"/>
  <cols>
    <col min="1" max="1" width="8.453125" style="101" customWidth="1"/>
    <col min="2" max="2" width="17.81640625" style="101" customWidth="1"/>
    <col min="3" max="3" width="12.7265625" style="101" customWidth="1"/>
    <col min="4" max="4" width="6.26953125" style="102" customWidth="1"/>
    <col min="5" max="5" width="15.453125" style="101" customWidth="1"/>
    <col min="6" max="6" width="3.453125" style="103" customWidth="1"/>
    <col min="7" max="7" width="7.81640625" style="101" customWidth="1"/>
    <col min="8" max="8" width="9" style="101" customWidth="1"/>
    <col min="9" max="9" width="7.81640625" style="103" customWidth="1"/>
    <col min="10" max="10" width="14.1796875" style="103" bestFit="1" customWidth="1"/>
    <col min="11" max="11" width="12" style="101" customWidth="1"/>
    <col min="12" max="12" width="4.1796875" style="101" customWidth="1"/>
    <col min="13" max="16384" width="8.7265625" style="101"/>
  </cols>
  <sheetData>
    <row r="1" spans="1:26" ht="14.15" customHeight="1" x14ac:dyDescent="0.35">
      <c r="A1" s="188"/>
      <c r="B1" s="188"/>
      <c r="G1" s="104"/>
      <c r="H1" s="208"/>
      <c r="I1" s="209"/>
      <c r="J1" s="209"/>
      <c r="K1" s="209"/>
      <c r="L1" s="100"/>
    </row>
    <row r="2" spans="1:26" ht="14.15" customHeight="1" x14ac:dyDescent="0.35">
      <c r="G2" s="104"/>
      <c r="H2" s="105" t="s">
        <v>503</v>
      </c>
      <c r="I2" s="106"/>
      <c r="J2" s="106"/>
      <c r="K2" s="106"/>
      <c r="L2" s="104"/>
      <c r="Q2" s="106"/>
    </row>
    <row r="3" spans="1:26" ht="14.15" customHeight="1" x14ac:dyDescent="0.35">
      <c r="G3" s="104"/>
      <c r="H3" s="107" t="s">
        <v>508</v>
      </c>
      <c r="I3" s="101"/>
      <c r="J3" s="101"/>
      <c r="K3" s="106"/>
      <c r="L3" s="104"/>
      <c r="Q3" s="106"/>
    </row>
    <row r="4" spans="1:26" ht="14.15" customHeight="1" x14ac:dyDescent="0.35">
      <c r="G4" s="104"/>
      <c r="H4" s="107" t="s">
        <v>509</v>
      </c>
      <c r="I4" s="101"/>
      <c r="J4" s="101"/>
      <c r="K4" s="106"/>
      <c r="L4" s="104"/>
      <c r="Q4" s="106"/>
    </row>
    <row r="5" spans="1:26" ht="14.15" customHeight="1" x14ac:dyDescent="0.35">
      <c r="G5" s="104"/>
      <c r="H5" s="107" t="s">
        <v>506</v>
      </c>
      <c r="I5" s="101"/>
      <c r="J5" s="101"/>
      <c r="K5" s="106"/>
      <c r="L5" s="104"/>
      <c r="O5" s="106"/>
    </row>
    <row r="6" spans="1:26" ht="14.15" customHeight="1" x14ac:dyDescent="0.35">
      <c r="C6" s="102"/>
      <c r="D6" s="224"/>
      <c r="G6" s="104"/>
      <c r="H6" s="107" t="s">
        <v>510</v>
      </c>
      <c r="K6" s="106"/>
      <c r="L6" s="104"/>
    </row>
    <row r="7" spans="1:26" ht="14.15" customHeight="1" x14ac:dyDescent="0.35">
      <c r="A7" s="108"/>
      <c r="B7" s="108"/>
      <c r="C7" s="109"/>
      <c r="D7" s="225"/>
      <c r="E7" s="108"/>
      <c r="F7" s="110"/>
      <c r="G7" s="111"/>
      <c r="H7" s="112"/>
      <c r="I7" s="110"/>
      <c r="J7" s="110"/>
      <c r="K7" s="108"/>
      <c r="L7" s="111"/>
    </row>
    <row r="8" spans="1:26" x14ac:dyDescent="0.35">
      <c r="A8" s="557" t="s">
        <v>77</v>
      </c>
      <c r="B8" s="558"/>
      <c r="C8" s="559" t="s">
        <v>78</v>
      </c>
      <c r="D8" s="560"/>
      <c r="E8" s="557" t="s">
        <v>79</v>
      </c>
      <c r="F8" s="558"/>
      <c r="G8" s="557" t="s">
        <v>80</v>
      </c>
      <c r="H8" s="561"/>
      <c r="I8" s="561"/>
      <c r="J8" s="121"/>
      <c r="K8" s="559" t="s">
        <v>81</v>
      </c>
      <c r="L8" s="562"/>
    </row>
    <row r="9" spans="1:26" ht="14.5" customHeight="1" x14ac:dyDescent="0.35">
      <c r="A9" s="550" t="s">
        <v>82</v>
      </c>
      <c r="B9" s="551"/>
      <c r="C9" s="552">
        <v>45654</v>
      </c>
      <c r="D9" s="553"/>
      <c r="E9" s="550"/>
      <c r="F9" s="551"/>
      <c r="G9" s="554" t="s">
        <v>271</v>
      </c>
      <c r="H9" s="555"/>
      <c r="I9" s="555"/>
      <c r="J9" s="556"/>
      <c r="K9" s="550" t="s">
        <v>38</v>
      </c>
      <c r="L9" s="551"/>
    </row>
    <row r="10" spans="1:26" x14ac:dyDescent="0.35">
      <c r="A10" s="559" t="s">
        <v>83</v>
      </c>
      <c r="B10" s="563"/>
      <c r="C10" s="563"/>
      <c r="D10" s="564"/>
      <c r="E10" s="564"/>
      <c r="F10" s="563"/>
      <c r="G10" s="563"/>
      <c r="H10" s="563"/>
      <c r="I10" s="563"/>
      <c r="J10" s="563"/>
      <c r="K10" s="563"/>
      <c r="L10" s="562"/>
    </row>
    <row r="11" spans="1:26" ht="14" x14ac:dyDescent="0.35">
      <c r="A11" s="134" t="s">
        <v>40</v>
      </c>
      <c r="B11" s="108"/>
      <c r="C11" s="109"/>
      <c r="D11" s="108"/>
      <c r="E11" s="225"/>
      <c r="F11" s="108"/>
      <c r="G11" s="108"/>
      <c r="H11" s="108"/>
      <c r="I11" s="108"/>
      <c r="J11" s="108"/>
      <c r="K11" s="108"/>
      <c r="L11" s="111"/>
    </row>
    <row r="12" spans="1:26" ht="31.5" customHeight="1" x14ac:dyDescent="0.35">
      <c r="A12" s="116" t="s">
        <v>84</v>
      </c>
      <c r="B12" s="565" t="s">
        <v>85</v>
      </c>
      <c r="C12" s="566"/>
      <c r="D12" s="566"/>
      <c r="E12" s="567"/>
      <c r="F12" s="117" t="s">
        <v>86</v>
      </c>
      <c r="G12" s="116" t="s">
        <v>87</v>
      </c>
      <c r="H12" s="116" t="s">
        <v>88</v>
      </c>
      <c r="I12" s="116" t="s">
        <v>89</v>
      </c>
      <c r="J12" s="116" t="s">
        <v>280</v>
      </c>
      <c r="K12" s="116" t="s">
        <v>90</v>
      </c>
      <c r="L12" s="116" t="s">
        <v>91</v>
      </c>
    </row>
    <row r="13" spans="1:26" ht="13" customHeight="1" x14ac:dyDescent="0.35">
      <c r="A13" s="202"/>
      <c r="B13" s="180" t="s">
        <v>545</v>
      </c>
      <c r="C13" s="203"/>
      <c r="D13" s="203"/>
      <c r="E13" s="204"/>
      <c r="F13" s="205"/>
      <c r="G13" s="351"/>
      <c r="H13" s="524"/>
      <c r="I13" s="351"/>
      <c r="J13" s="227"/>
      <c r="K13" s="524"/>
      <c r="L13" s="234"/>
      <c r="O13" s="106"/>
    </row>
    <row r="14" spans="1:26" ht="14.5" x14ac:dyDescent="0.35">
      <c r="A14" s="199">
        <f t="array" ref="A14:A17">INDEX(orderItemData[sku_geko], SMALL(IF((orderItemData[qty]&lt;&gt;0)*(orderItemData[order_no]=1), ROW(orderItemData[qty])-MIN(ROW(orderItemData[qty]))+1), ROW(A1:A4)))</f>
        <v>0</v>
      </c>
      <c r="B14" s="545">
        <f t="array" ref="B14:B17">INDEX(orderItemData[description], SMALL(IF((orderItemData[qty]&lt;&gt;0)*(orderItemData[order_no]=1), ROW(orderItemData[qty])-MIN(ROW(orderItemData[qty]))+1), ROW(A1:A4)))</f>
        <v>0</v>
      </c>
      <c r="C14" s="212"/>
      <c r="D14" s="99"/>
      <c r="E14" s="200"/>
      <c r="F14" s="201" t="s">
        <v>244</v>
      </c>
      <c r="G14" s="352">
        <f t="array" ref="G14:G17">INDEX(orderItemData[qty], SMALL(IF((orderItemData[qty]&lt;&gt;0)*(orderItemData[order_no]=1), ROW(orderItemData[qty])-MIN(ROW(orderItemData[qty]))+1), ROW(A1:A4)))</f>
        <v>0</v>
      </c>
      <c r="H14" s="525">
        <f t="array" ref="H14:H17">INDEX(orderItemData[price], SMALL(IF((orderItemData[qty]&lt;&gt;0)*(orderItemData[order_no]=1), ROW(orderItemData[qty])-MIN(ROW(orderItemData[qty]))+1), ROW(A1:A4)))</f>
        <v>0</v>
      </c>
      <c r="I14" s="352">
        <f>CEILING(G14/24,1)</f>
        <v>0</v>
      </c>
      <c r="J14" s="228" t="e">
        <f>INDEX(productData[ean],MATCH(Z14,productData[sku],0))</f>
        <v>#N/A</v>
      </c>
      <c r="K14" s="525">
        <f t="shared" ref="K14:K17" si="0">G14*H14</f>
        <v>0</v>
      </c>
      <c r="L14" s="223" t="s">
        <v>512</v>
      </c>
      <c r="O14" s="103"/>
      <c r="T14" s="55"/>
      <c r="U14" s="55"/>
      <c r="V14" s="120"/>
      <c r="W14" s="55"/>
      <c r="X14" s="120"/>
      <c r="Y14" s="55"/>
      <c r="Z14" s="101">
        <f t="array" ref="Z14:Z17">INDEX(orderItemData[sku], SMALL(IF((orderItemData[qty]&lt;&gt;0)*(orderItemData[order_no]=1), ROW(orderItemData[qty])-MIN(ROW(orderItemData[qty]))+1), ROW(A1:A4)))</f>
        <v>0</v>
      </c>
    </row>
    <row r="15" spans="1:26" ht="14.5" x14ac:dyDescent="0.35">
      <c r="A15" s="199" t="e">
        <v>#NUM!</v>
      </c>
      <c r="B15" s="545" t="e">
        <v>#NUM!</v>
      </c>
      <c r="C15" s="212"/>
      <c r="D15" s="99"/>
      <c r="E15" s="200"/>
      <c r="F15" s="201" t="s">
        <v>244</v>
      </c>
      <c r="G15" s="352" t="e">
        <v>#NUM!</v>
      </c>
      <c r="H15" s="525" t="e">
        <v>#NUM!</v>
      </c>
      <c r="I15" s="352" t="e">
        <f>CEILING(G15/24,1)</f>
        <v>#NUM!</v>
      </c>
      <c r="J15" s="228" t="e">
        <f>INDEX(productData[ean],MATCH(Z15,productData[sku],0))</f>
        <v>#NUM!</v>
      </c>
      <c r="K15" s="525" t="e">
        <f t="shared" si="0"/>
        <v>#NUM!</v>
      </c>
      <c r="L15" s="223" t="s">
        <v>512</v>
      </c>
      <c r="O15" s="103"/>
      <c r="T15" s="55"/>
      <c r="U15" s="55"/>
      <c r="V15" s="120"/>
      <c r="W15" s="55"/>
      <c r="X15" s="120"/>
      <c r="Y15" s="55"/>
      <c r="Z15" s="101" t="e">
        <v>#NUM!</v>
      </c>
    </row>
    <row r="16" spans="1:26" ht="14.5" x14ac:dyDescent="0.35">
      <c r="A16" s="199" t="e">
        <v>#NUM!</v>
      </c>
      <c r="B16" s="545" t="e">
        <v>#NUM!</v>
      </c>
      <c r="C16" s="212"/>
      <c r="D16" s="99"/>
      <c r="E16" s="200"/>
      <c r="F16" s="201" t="s">
        <v>244</v>
      </c>
      <c r="G16" s="352" t="e">
        <v>#NUM!</v>
      </c>
      <c r="H16" s="525" t="e">
        <v>#NUM!</v>
      </c>
      <c r="I16" s="352" t="e">
        <f>CEILING(G16/24,1)</f>
        <v>#NUM!</v>
      </c>
      <c r="J16" s="228" t="e">
        <f>INDEX(productData[ean],MATCH(Z16,productData[sku],0))</f>
        <v>#NUM!</v>
      </c>
      <c r="K16" s="525" t="e">
        <f t="shared" si="0"/>
        <v>#NUM!</v>
      </c>
      <c r="L16" s="223" t="s">
        <v>512</v>
      </c>
      <c r="O16" s="103"/>
      <c r="T16" s="55"/>
      <c r="U16" s="55"/>
      <c r="V16" s="120"/>
      <c r="W16" s="55"/>
      <c r="X16" s="120"/>
      <c r="Y16" s="55"/>
      <c r="Z16" s="101" t="e">
        <v>#NUM!</v>
      </c>
    </row>
    <row r="17" spans="1:26" ht="14.5" x14ac:dyDescent="0.35">
      <c r="A17" s="199" t="e">
        <v>#NUM!</v>
      </c>
      <c r="B17" s="545" t="e">
        <v>#NUM!</v>
      </c>
      <c r="C17" s="212"/>
      <c r="D17" s="99"/>
      <c r="E17" s="200"/>
      <c r="F17" s="201" t="s">
        <v>244</v>
      </c>
      <c r="G17" s="352" t="e">
        <v>#NUM!</v>
      </c>
      <c r="H17" s="525" t="e">
        <v>#NUM!</v>
      </c>
      <c r="I17" s="352" t="e">
        <f>CEILING(G17/24,1)</f>
        <v>#NUM!</v>
      </c>
      <c r="J17" s="228" t="e">
        <f>INDEX(productData[ean],MATCH(Z17,productData[sku],0))</f>
        <v>#NUM!</v>
      </c>
      <c r="K17" s="525" t="e">
        <f t="shared" si="0"/>
        <v>#NUM!</v>
      </c>
      <c r="L17" s="223" t="s">
        <v>512</v>
      </c>
      <c r="O17" s="103"/>
      <c r="T17" s="55"/>
      <c r="U17" s="55"/>
      <c r="V17" s="120"/>
      <c r="W17" s="55"/>
      <c r="X17" s="120"/>
      <c r="Y17" s="55"/>
      <c r="Z17" s="101" t="e">
        <v>#NUM!</v>
      </c>
    </row>
    <row r="18" spans="1:26" ht="14.5" x14ac:dyDescent="0.35">
      <c r="A18" s="199"/>
      <c r="B18" s="545"/>
      <c r="C18" s="212"/>
      <c r="D18" s="99"/>
      <c r="E18" s="200"/>
      <c r="F18" s="201"/>
      <c r="G18" s="352"/>
      <c r="H18" s="525"/>
      <c r="I18" s="352"/>
      <c r="J18" s="228"/>
      <c r="K18" s="525"/>
      <c r="L18" s="223"/>
      <c r="O18" s="103"/>
      <c r="T18" s="55"/>
      <c r="U18" s="55"/>
      <c r="V18" s="120"/>
      <c r="W18" s="55"/>
      <c r="X18" s="120"/>
      <c r="Y18" s="55"/>
    </row>
    <row r="19" spans="1:26" ht="14.5" x14ac:dyDescent="0.35">
      <c r="A19" s="199"/>
      <c r="B19" s="545"/>
      <c r="C19" s="212"/>
      <c r="D19" s="99"/>
      <c r="E19" s="200"/>
      <c r="F19" s="201"/>
      <c r="G19" s="352"/>
      <c r="H19" s="525"/>
      <c r="I19" s="352"/>
      <c r="J19" s="228"/>
      <c r="K19" s="525"/>
      <c r="L19" s="223"/>
      <c r="O19" s="103"/>
      <c r="T19" s="55"/>
      <c r="U19" s="55"/>
      <c r="V19" s="120"/>
      <c r="W19" s="55"/>
      <c r="X19" s="120"/>
      <c r="Y19" s="55"/>
    </row>
    <row r="20" spans="1:26" ht="14.5" x14ac:dyDescent="0.35">
      <c r="A20" s="199"/>
      <c r="B20" s="545"/>
      <c r="C20" s="212"/>
      <c r="D20" s="226"/>
      <c r="E20" s="200"/>
      <c r="F20" s="201"/>
      <c r="G20" s="352"/>
      <c r="H20" s="525"/>
      <c r="I20" s="352"/>
      <c r="J20" s="228"/>
      <c r="K20" s="525"/>
      <c r="L20" s="223"/>
      <c r="O20" s="103"/>
      <c r="T20" s="55"/>
      <c r="U20" s="55"/>
      <c r="V20" s="120"/>
      <c r="W20" s="55"/>
      <c r="X20" s="120"/>
      <c r="Y20" s="55"/>
    </row>
    <row r="21" spans="1:26" ht="14.5" x14ac:dyDescent="0.35">
      <c r="A21" s="199"/>
      <c r="B21" s="545"/>
      <c r="C21" s="212" t="s">
        <v>262</v>
      </c>
      <c r="D21" s="99" t="e">
        <f>CONCATENATE(packingListModelFinal!$A$156," Kg.")</f>
        <v>#NUM!</v>
      </c>
      <c r="E21" s="200"/>
      <c r="F21" s="201"/>
      <c r="G21" s="352"/>
      <c r="H21" s="525"/>
      <c r="I21" s="352"/>
      <c r="J21" s="228"/>
      <c r="K21" s="525"/>
      <c r="L21" s="223"/>
      <c r="O21" s="103"/>
      <c r="T21" s="55"/>
      <c r="U21" s="55"/>
      <c r="V21" s="120"/>
      <c r="W21" s="55"/>
      <c r="X21" s="120"/>
      <c r="Y21" s="55"/>
    </row>
    <row r="22" spans="1:26" ht="14.5" x14ac:dyDescent="0.35">
      <c r="A22" s="199"/>
      <c r="B22" s="545"/>
      <c r="C22" s="212" t="s">
        <v>263</v>
      </c>
      <c r="D22" s="99" t="e">
        <f>CONCATENATE(packingListModelFinal!$E$156," Kg.")</f>
        <v>#NUM!</v>
      </c>
      <c r="E22" s="200"/>
      <c r="F22" s="201"/>
      <c r="G22" s="352"/>
      <c r="H22" s="525"/>
      <c r="I22" s="352"/>
      <c r="J22" s="228"/>
      <c r="K22" s="525"/>
      <c r="L22" s="223"/>
      <c r="O22" s="103"/>
      <c r="T22" s="55"/>
      <c r="U22" s="55"/>
      <c r="V22" s="120"/>
      <c r="W22" s="55"/>
      <c r="X22" s="120"/>
      <c r="Y22" s="55"/>
    </row>
    <row r="23" spans="1:26" ht="14.5" x14ac:dyDescent="0.35">
      <c r="A23" s="199"/>
      <c r="B23" s="545"/>
      <c r="C23" s="212" t="s">
        <v>264</v>
      </c>
      <c r="D23" s="226" t="e">
        <f>packingListModelFinal!$C$154</f>
        <v>#NUM!</v>
      </c>
      <c r="E23" s="200"/>
      <c r="F23" s="201"/>
      <c r="G23" s="352"/>
      <c r="H23" s="525"/>
      <c r="I23" s="352"/>
      <c r="J23" s="228"/>
      <c r="K23" s="525"/>
      <c r="L23" s="223"/>
      <c r="O23" s="103"/>
      <c r="T23" s="55"/>
      <c r="U23" s="55"/>
      <c r="V23" s="120"/>
      <c r="W23" s="55"/>
      <c r="X23" s="120"/>
      <c r="Y23" s="55"/>
    </row>
    <row r="24" spans="1:26" ht="14.5" x14ac:dyDescent="0.35">
      <c r="A24" s="199"/>
      <c r="B24" s="545"/>
      <c r="C24" s="212" t="s">
        <v>265</v>
      </c>
      <c r="D24" s="226">
        <f>packingListModelFinal!$E$154</f>
        <v>1</v>
      </c>
      <c r="E24" s="200"/>
      <c r="F24" s="201"/>
      <c r="G24" s="352"/>
      <c r="H24" s="525"/>
      <c r="I24" s="352"/>
      <c r="J24" s="228"/>
      <c r="K24" s="525"/>
      <c r="L24" s="223"/>
      <c r="O24" s="103"/>
      <c r="T24" s="55"/>
      <c r="U24" s="55"/>
      <c r="V24" s="120"/>
      <c r="W24" s="55"/>
      <c r="X24" s="120"/>
      <c r="Y24" s="55"/>
    </row>
    <row r="25" spans="1:26" ht="14.5" x14ac:dyDescent="0.35">
      <c r="A25" s="199"/>
      <c r="B25" s="545"/>
      <c r="C25" s="212" t="s">
        <v>261</v>
      </c>
      <c r="D25" s="99" t="str">
        <f>packingListModelFinal!$G$154</f>
        <v>80x120x___(h)</v>
      </c>
      <c r="E25" s="200"/>
      <c r="F25" s="201"/>
      <c r="G25" s="352"/>
      <c r="H25" s="525"/>
      <c r="I25" s="352"/>
      <c r="J25" s="228"/>
      <c r="K25" s="525"/>
      <c r="L25" s="223"/>
      <c r="O25" s="103"/>
      <c r="T25" s="55"/>
      <c r="U25" s="55"/>
      <c r="V25" s="120"/>
      <c r="W25" s="55"/>
      <c r="X25" s="120"/>
      <c r="Y25" s="55"/>
    </row>
    <row r="26" spans="1:26" ht="14.5" x14ac:dyDescent="0.35">
      <c r="A26" s="199"/>
      <c r="B26" s="545"/>
      <c r="C26" s="212"/>
      <c r="D26" s="226"/>
      <c r="E26" s="200"/>
      <c r="F26" s="201"/>
      <c r="G26" s="352"/>
      <c r="H26" s="525"/>
      <c r="I26" s="352"/>
      <c r="J26" s="228"/>
      <c r="K26" s="525"/>
      <c r="L26" s="223"/>
      <c r="O26" s="103"/>
      <c r="T26" s="55"/>
      <c r="U26" s="55"/>
      <c r="V26" s="120"/>
      <c r="W26" s="55"/>
      <c r="X26" s="120"/>
      <c r="Y26" s="55"/>
    </row>
    <row r="27" spans="1:26" ht="14.5" x14ac:dyDescent="0.35">
      <c r="A27" s="199"/>
      <c r="B27" s="545"/>
      <c r="C27" s="212"/>
      <c r="D27" s="226"/>
      <c r="E27" s="200"/>
      <c r="F27" s="201"/>
      <c r="G27" s="352"/>
      <c r="H27" s="525"/>
      <c r="I27" s="352"/>
      <c r="J27" s="228"/>
      <c r="K27" s="525"/>
      <c r="L27" s="223"/>
      <c r="O27" s="103"/>
      <c r="T27" s="55"/>
      <c r="U27" s="55"/>
      <c r="V27" s="120"/>
      <c r="W27" s="55"/>
      <c r="X27" s="120"/>
      <c r="Y27" s="55"/>
    </row>
    <row r="28" spans="1:26" ht="14.5" x14ac:dyDescent="0.35">
      <c r="A28" s="199"/>
      <c r="B28" s="545"/>
      <c r="C28" s="212"/>
      <c r="D28" s="226"/>
      <c r="E28" s="200"/>
      <c r="F28" s="201"/>
      <c r="G28" s="352"/>
      <c r="H28" s="525"/>
      <c r="I28" s="352"/>
      <c r="J28" s="228"/>
      <c r="K28" s="525"/>
      <c r="L28" s="223"/>
      <c r="O28" s="103"/>
      <c r="T28" s="55"/>
      <c r="U28" s="55"/>
      <c r="V28" s="120"/>
      <c r="W28" s="55"/>
      <c r="X28" s="120"/>
      <c r="Y28" s="55"/>
    </row>
    <row r="29" spans="1:26" ht="14.5" x14ac:dyDescent="0.35">
      <c r="A29" s="199"/>
      <c r="B29" s="545"/>
      <c r="C29" s="212"/>
      <c r="D29" s="226"/>
      <c r="E29" s="200"/>
      <c r="F29" s="201"/>
      <c r="G29" s="352"/>
      <c r="H29" s="525"/>
      <c r="I29" s="352"/>
      <c r="J29" s="228"/>
      <c r="K29" s="525"/>
      <c r="L29" s="223"/>
      <c r="O29" s="103"/>
      <c r="T29" s="55"/>
      <c r="U29" s="55"/>
      <c r="V29" s="120"/>
      <c r="W29" s="55"/>
      <c r="X29" s="120"/>
      <c r="Y29" s="55"/>
    </row>
    <row r="30" spans="1:26" ht="14.5" x14ac:dyDescent="0.35">
      <c r="A30" s="199"/>
      <c r="B30" s="545"/>
      <c r="C30" s="212"/>
      <c r="D30" s="226"/>
      <c r="E30" s="200"/>
      <c r="F30" s="201"/>
      <c r="G30" s="352"/>
      <c r="H30" s="525"/>
      <c r="I30" s="352"/>
      <c r="J30" s="228"/>
      <c r="K30" s="525"/>
      <c r="L30" s="223"/>
      <c r="O30" s="103"/>
      <c r="T30" s="55"/>
      <c r="U30" s="55"/>
      <c r="V30" s="120"/>
      <c r="W30" s="55"/>
      <c r="X30" s="120"/>
      <c r="Y30" s="55"/>
    </row>
    <row r="31" spans="1:26" ht="14.5" x14ac:dyDescent="0.35">
      <c r="A31" s="199"/>
      <c r="B31" s="545"/>
      <c r="C31" s="212"/>
      <c r="D31" s="99"/>
      <c r="E31" s="200"/>
      <c r="F31" s="201"/>
      <c r="G31" s="352"/>
      <c r="H31" s="525"/>
      <c r="I31" s="352"/>
      <c r="J31" s="228"/>
      <c r="K31" s="525"/>
      <c r="L31" s="223"/>
      <c r="O31" s="103"/>
      <c r="T31" s="55"/>
      <c r="U31" s="55"/>
      <c r="V31" s="120"/>
      <c r="W31" s="55"/>
      <c r="X31" s="120"/>
      <c r="Y31" s="55"/>
    </row>
    <row r="32" spans="1:26" ht="14.5" x14ac:dyDescent="0.35">
      <c r="A32" s="199"/>
      <c r="B32" s="545"/>
      <c r="C32" s="212"/>
      <c r="D32" s="226"/>
      <c r="E32" s="200"/>
      <c r="F32" s="201"/>
      <c r="G32" s="352"/>
      <c r="H32" s="525"/>
      <c r="I32" s="352"/>
      <c r="J32" s="228"/>
      <c r="K32" s="525"/>
      <c r="L32" s="223"/>
      <c r="O32" s="103"/>
      <c r="T32" s="55"/>
      <c r="U32" s="55"/>
      <c r="V32" s="120"/>
      <c r="W32" s="55"/>
      <c r="X32" s="120"/>
      <c r="Y32" s="55"/>
    </row>
    <row r="33" spans="1:25" ht="14.5" x14ac:dyDescent="0.35">
      <c r="A33" s="199"/>
      <c r="B33" s="545"/>
      <c r="C33" s="212"/>
      <c r="D33" s="99"/>
      <c r="E33" s="200"/>
      <c r="F33" s="201"/>
      <c r="G33" s="352"/>
      <c r="H33" s="525"/>
      <c r="I33" s="352"/>
      <c r="J33" s="228"/>
      <c r="K33" s="525"/>
      <c r="L33" s="223"/>
      <c r="O33" s="103"/>
      <c r="T33" s="55"/>
      <c r="U33" s="55"/>
      <c r="V33" s="120"/>
      <c r="W33" s="55"/>
      <c r="X33" s="120"/>
      <c r="Y33" s="55"/>
    </row>
    <row r="34" spans="1:25" ht="14.5" x14ac:dyDescent="0.35">
      <c r="A34" s="199"/>
      <c r="B34" s="545"/>
      <c r="C34" s="212"/>
      <c r="D34" s="226"/>
      <c r="E34" s="200"/>
      <c r="F34" s="201"/>
      <c r="G34" s="352"/>
      <c r="H34" s="525"/>
      <c r="I34" s="352"/>
      <c r="J34" s="228"/>
      <c r="K34" s="525"/>
      <c r="L34" s="223"/>
      <c r="O34" s="103"/>
      <c r="T34" s="55"/>
      <c r="U34" s="55"/>
      <c r="V34" s="120"/>
      <c r="W34" s="55"/>
      <c r="X34" s="120"/>
      <c r="Y34" s="55"/>
    </row>
    <row r="35" spans="1:25" ht="14.5" x14ac:dyDescent="0.35">
      <c r="A35" s="199"/>
      <c r="B35" s="545"/>
      <c r="C35" s="212"/>
      <c r="D35" s="226"/>
      <c r="E35" s="200"/>
      <c r="F35" s="201"/>
      <c r="G35" s="352"/>
      <c r="H35" s="525"/>
      <c r="I35" s="352"/>
      <c r="J35" s="228"/>
      <c r="K35" s="525"/>
      <c r="L35" s="223"/>
      <c r="O35" s="103"/>
      <c r="T35" s="55"/>
      <c r="U35" s="55"/>
      <c r="V35" s="120"/>
      <c r="W35" s="55"/>
      <c r="X35" s="120"/>
      <c r="Y35" s="55"/>
    </row>
    <row r="36" spans="1:25" ht="14.5" x14ac:dyDescent="0.35">
      <c r="A36" s="199"/>
      <c r="B36" s="545"/>
      <c r="C36" s="212"/>
      <c r="D36" s="226"/>
      <c r="E36" s="200"/>
      <c r="F36" s="201"/>
      <c r="G36" s="352"/>
      <c r="H36" s="525"/>
      <c r="I36" s="352"/>
      <c r="J36" s="228"/>
      <c r="K36" s="525"/>
      <c r="L36" s="223"/>
      <c r="O36" s="103"/>
      <c r="T36" s="55"/>
      <c r="U36" s="55"/>
      <c r="V36" s="120"/>
      <c r="W36" s="55"/>
      <c r="X36" s="120"/>
      <c r="Y36" s="55"/>
    </row>
    <row r="37" spans="1:25" ht="14.5" x14ac:dyDescent="0.35">
      <c r="A37" s="199"/>
      <c r="B37" s="545"/>
      <c r="C37" s="212"/>
      <c r="D37" s="226"/>
      <c r="E37" s="200"/>
      <c r="F37" s="201"/>
      <c r="G37" s="352"/>
      <c r="H37" s="525"/>
      <c r="I37" s="352"/>
      <c r="J37" s="228"/>
      <c r="K37" s="525"/>
      <c r="L37" s="223"/>
      <c r="O37" s="103"/>
      <c r="T37" s="55"/>
      <c r="U37" s="55"/>
      <c r="V37" s="120"/>
      <c r="W37" s="55"/>
      <c r="X37" s="120"/>
      <c r="Y37" s="55"/>
    </row>
    <row r="38" spans="1:25" ht="14.5" x14ac:dyDescent="0.35">
      <c r="A38" s="199"/>
      <c r="B38" s="545"/>
      <c r="C38" s="212"/>
      <c r="D38" s="99"/>
      <c r="E38" s="200"/>
      <c r="F38" s="201"/>
      <c r="G38" s="352"/>
      <c r="H38" s="525"/>
      <c r="I38" s="352"/>
      <c r="J38" s="228"/>
      <c r="K38" s="525"/>
      <c r="L38" s="223"/>
      <c r="O38" s="103"/>
      <c r="T38" s="55"/>
      <c r="U38" s="55"/>
      <c r="V38" s="120"/>
      <c r="W38" s="55"/>
      <c r="X38" s="120"/>
      <c r="Y38" s="55"/>
    </row>
    <row r="39" spans="1:25" ht="14.5" x14ac:dyDescent="0.35">
      <c r="A39" s="199"/>
      <c r="B39" s="545"/>
      <c r="C39" s="212"/>
      <c r="D39" s="226"/>
      <c r="E39" s="200"/>
      <c r="F39" s="201"/>
      <c r="G39" s="352"/>
      <c r="H39" s="525"/>
      <c r="I39" s="352"/>
      <c r="J39" s="228"/>
      <c r="K39" s="525"/>
      <c r="L39" s="223"/>
      <c r="O39" s="103"/>
      <c r="T39" s="55"/>
      <c r="U39" s="55"/>
      <c r="V39" s="120"/>
      <c r="W39" s="55"/>
      <c r="X39" s="120"/>
      <c r="Y39" s="55"/>
    </row>
    <row r="40" spans="1:25" ht="14.5" x14ac:dyDescent="0.35">
      <c r="A40" s="199"/>
      <c r="B40" s="545"/>
      <c r="C40" s="212"/>
      <c r="D40" s="99"/>
      <c r="E40" s="200"/>
      <c r="F40" s="201"/>
      <c r="G40" s="352"/>
      <c r="H40" s="525"/>
      <c r="I40" s="352"/>
      <c r="J40" s="228"/>
      <c r="K40" s="525"/>
      <c r="L40" s="223"/>
      <c r="O40" s="103"/>
      <c r="T40" s="55"/>
      <c r="U40" s="55"/>
      <c r="V40" s="120"/>
      <c r="W40" s="55"/>
      <c r="X40" s="120"/>
      <c r="Y40" s="55"/>
    </row>
    <row r="41" spans="1:25" ht="14.5" x14ac:dyDescent="0.35">
      <c r="A41" s="199"/>
      <c r="B41" s="545"/>
      <c r="C41" s="212"/>
      <c r="D41" s="226"/>
      <c r="E41" s="200"/>
      <c r="F41" s="201"/>
      <c r="G41" s="352"/>
      <c r="H41" s="525"/>
      <c r="I41" s="352"/>
      <c r="J41" s="228"/>
      <c r="K41" s="525"/>
      <c r="L41" s="223"/>
      <c r="O41" s="103"/>
      <c r="T41" s="55"/>
      <c r="U41" s="55"/>
      <c r="V41" s="120"/>
      <c r="W41" s="55"/>
      <c r="X41" s="120"/>
      <c r="Y41" s="55"/>
    </row>
    <row r="42" spans="1:25" ht="14.5" x14ac:dyDescent="0.35">
      <c r="A42" s="199"/>
      <c r="B42" s="545"/>
      <c r="C42" s="212"/>
      <c r="D42" s="99"/>
      <c r="E42" s="200"/>
      <c r="F42" s="201"/>
      <c r="G42" s="352"/>
      <c r="H42" s="525"/>
      <c r="I42" s="352"/>
      <c r="J42" s="228"/>
      <c r="K42" s="525"/>
      <c r="L42" s="223"/>
      <c r="O42" s="103"/>
      <c r="T42" s="55"/>
      <c r="U42" s="55"/>
      <c r="V42" s="120"/>
      <c r="W42" s="55"/>
      <c r="X42" s="120"/>
      <c r="Y42" s="55"/>
    </row>
    <row r="43" spans="1:25" ht="14.5" x14ac:dyDescent="0.35">
      <c r="A43" s="199"/>
      <c r="B43" s="545"/>
      <c r="C43" s="212"/>
      <c r="D43" s="99"/>
      <c r="E43" s="200"/>
      <c r="F43" s="201"/>
      <c r="G43" s="352"/>
      <c r="H43" s="525"/>
      <c r="I43" s="352"/>
      <c r="J43" s="228"/>
      <c r="K43" s="525"/>
      <c r="L43" s="223"/>
      <c r="O43" s="103"/>
      <c r="T43" s="55"/>
      <c r="U43" s="55"/>
      <c r="V43" s="120"/>
      <c r="W43" s="55"/>
      <c r="X43" s="120"/>
      <c r="Y43" s="55"/>
    </row>
    <row r="44" spans="1:25" ht="14.5" x14ac:dyDescent="0.35">
      <c r="A44" s="199"/>
      <c r="B44" s="545"/>
      <c r="C44" s="212"/>
      <c r="D44" s="226"/>
      <c r="E44" s="200"/>
      <c r="F44" s="201"/>
      <c r="G44" s="352"/>
      <c r="H44" s="525"/>
      <c r="I44" s="352"/>
      <c r="J44" s="228"/>
      <c r="K44" s="525"/>
      <c r="L44" s="223"/>
      <c r="O44" s="103"/>
      <c r="T44" s="55"/>
      <c r="U44" s="55"/>
      <c r="V44" s="120"/>
      <c r="W44" s="55"/>
      <c r="X44" s="120"/>
      <c r="Y44" s="55"/>
    </row>
    <row r="45" spans="1:25" ht="14.5" x14ac:dyDescent="0.35">
      <c r="A45" s="199"/>
      <c r="B45" s="545"/>
      <c r="C45" s="212"/>
      <c r="D45" s="226"/>
      <c r="E45" s="200"/>
      <c r="F45" s="201"/>
      <c r="G45" s="352"/>
      <c r="H45" s="525"/>
      <c r="I45" s="352"/>
      <c r="J45" s="228"/>
      <c r="K45" s="525"/>
      <c r="L45" s="223"/>
      <c r="O45" s="103"/>
      <c r="T45" s="55"/>
      <c r="U45" s="55"/>
      <c r="V45" s="120"/>
      <c r="W45" s="55"/>
      <c r="X45" s="120"/>
      <c r="Y45" s="55"/>
    </row>
    <row r="46" spans="1:25" ht="14.5" x14ac:dyDescent="0.35">
      <c r="A46" s="199"/>
      <c r="B46" s="545"/>
      <c r="C46" s="212"/>
      <c r="D46" s="226"/>
      <c r="E46" s="200"/>
      <c r="F46" s="201"/>
      <c r="G46" s="352"/>
      <c r="H46" s="525"/>
      <c r="I46" s="352"/>
      <c r="J46" s="228"/>
      <c r="K46" s="525"/>
      <c r="L46" s="223"/>
      <c r="O46" s="103"/>
      <c r="T46" s="55"/>
      <c r="U46" s="55"/>
      <c r="V46" s="120"/>
      <c r="W46" s="55"/>
      <c r="X46" s="120"/>
      <c r="Y46" s="55"/>
    </row>
    <row r="47" spans="1:25" ht="14.5" x14ac:dyDescent="0.35">
      <c r="A47" s="199"/>
      <c r="B47" s="545"/>
      <c r="C47" s="212"/>
      <c r="D47" s="226"/>
      <c r="E47" s="200"/>
      <c r="F47" s="201"/>
      <c r="G47" s="352"/>
      <c r="H47" s="525"/>
      <c r="I47" s="352"/>
      <c r="J47" s="228"/>
      <c r="K47" s="525"/>
      <c r="L47" s="223"/>
      <c r="O47" s="103"/>
      <c r="T47" s="55"/>
      <c r="U47" s="55"/>
      <c r="V47" s="120"/>
      <c r="W47" s="55"/>
      <c r="X47" s="120"/>
      <c r="Y47" s="55"/>
    </row>
    <row r="48" spans="1:25" ht="14.5" x14ac:dyDescent="0.35">
      <c r="A48" s="199"/>
      <c r="B48" s="545"/>
      <c r="C48" s="212"/>
      <c r="D48" s="99"/>
      <c r="E48" s="200"/>
      <c r="F48" s="201"/>
      <c r="G48" s="352"/>
      <c r="H48" s="525"/>
      <c r="I48" s="352"/>
      <c r="J48" s="228"/>
      <c r="K48" s="525"/>
      <c r="L48" s="223"/>
      <c r="O48" s="103"/>
      <c r="T48" s="55"/>
      <c r="U48" s="55"/>
      <c r="V48" s="120"/>
      <c r="W48" s="55"/>
      <c r="X48" s="120"/>
      <c r="Y48" s="55"/>
    </row>
    <row r="49" spans="1:25" ht="14.5" x14ac:dyDescent="0.35">
      <c r="A49" s="199"/>
      <c r="B49" s="545"/>
      <c r="C49" s="212"/>
      <c r="D49" s="226"/>
      <c r="E49" s="200"/>
      <c r="F49" s="201"/>
      <c r="G49" s="352"/>
      <c r="H49" s="525"/>
      <c r="I49" s="352"/>
      <c r="J49" s="228"/>
      <c r="K49" s="525"/>
      <c r="L49" s="223"/>
      <c r="O49" s="103"/>
      <c r="T49" s="55"/>
      <c r="U49" s="55"/>
      <c r="V49" s="120"/>
      <c r="W49" s="55"/>
      <c r="X49" s="120"/>
      <c r="Y49" s="55"/>
    </row>
    <row r="50" spans="1:25" ht="14.5" x14ac:dyDescent="0.35">
      <c r="A50" s="199"/>
      <c r="B50" s="545"/>
      <c r="C50" s="212"/>
      <c r="D50" s="99"/>
      <c r="E50" s="200"/>
      <c r="F50" s="201"/>
      <c r="G50" s="352"/>
      <c r="H50" s="525"/>
      <c r="I50" s="352"/>
      <c r="J50" s="228"/>
      <c r="K50" s="525"/>
      <c r="L50" s="223"/>
      <c r="O50" s="103"/>
      <c r="T50" s="55"/>
      <c r="U50" s="55"/>
      <c r="V50" s="120"/>
      <c r="W50" s="55"/>
      <c r="X50" s="120"/>
      <c r="Y50" s="55"/>
    </row>
    <row r="51" spans="1:25" ht="14.5" x14ac:dyDescent="0.35">
      <c r="A51" s="199"/>
      <c r="B51" s="545"/>
      <c r="C51" s="212"/>
      <c r="D51" s="226"/>
      <c r="E51" s="200"/>
      <c r="F51" s="201"/>
      <c r="G51" s="352"/>
      <c r="H51" s="386"/>
      <c r="I51" s="352"/>
      <c r="J51" s="228"/>
      <c r="K51" s="386"/>
      <c r="L51" s="223"/>
      <c r="O51" s="103"/>
      <c r="T51" s="55"/>
      <c r="U51" s="55"/>
      <c r="V51" s="120"/>
      <c r="W51" s="55"/>
      <c r="X51" s="120"/>
      <c r="Y51" s="55"/>
    </row>
    <row r="52" spans="1:25" ht="14.5" x14ac:dyDescent="0.35">
      <c r="A52" s="199"/>
      <c r="B52" s="545"/>
      <c r="C52" s="212"/>
      <c r="D52" s="226"/>
      <c r="E52" s="200"/>
      <c r="F52" s="201"/>
      <c r="G52" s="352"/>
      <c r="H52" s="409"/>
      <c r="I52" s="352"/>
      <c r="J52" s="228"/>
      <c r="K52" s="386"/>
      <c r="L52" s="223"/>
      <c r="O52" s="103"/>
      <c r="T52" s="55"/>
      <c r="U52" s="55"/>
      <c r="V52" s="120"/>
      <c r="W52" s="55"/>
      <c r="X52" s="120"/>
      <c r="Y52" s="55"/>
    </row>
    <row r="53" spans="1:25" ht="14.5" x14ac:dyDescent="0.35">
      <c r="A53" s="199"/>
      <c r="B53" s="545"/>
      <c r="C53" s="212"/>
      <c r="D53" s="99"/>
      <c r="E53" s="200"/>
      <c r="F53" s="201"/>
      <c r="G53" s="352"/>
      <c r="H53" s="386"/>
      <c r="I53" s="352"/>
      <c r="J53" s="228"/>
      <c r="K53" s="386"/>
      <c r="L53" s="223"/>
      <c r="O53" s="103"/>
      <c r="T53" s="55"/>
      <c r="U53" s="55"/>
      <c r="V53" s="120"/>
      <c r="W53" s="55"/>
      <c r="X53" s="120"/>
      <c r="Y53" s="55"/>
    </row>
    <row r="54" spans="1:25" ht="14.5" x14ac:dyDescent="0.35">
      <c r="A54" s="199"/>
      <c r="B54" s="545"/>
      <c r="C54" s="212"/>
      <c r="D54" s="410"/>
      <c r="E54" s="200"/>
      <c r="F54" s="201"/>
      <c r="G54" s="352"/>
      <c r="H54" s="409"/>
      <c r="I54" s="352"/>
      <c r="J54" s="228"/>
      <c r="K54" s="386"/>
      <c r="L54" s="223"/>
      <c r="O54" s="103"/>
      <c r="T54" s="55"/>
      <c r="U54" s="55"/>
      <c r="V54" s="120"/>
      <c r="W54" s="55"/>
      <c r="X54" s="120"/>
      <c r="Y54" s="55"/>
    </row>
    <row r="55" spans="1:25" ht="14.5" x14ac:dyDescent="0.35">
      <c r="A55" s="199"/>
      <c r="B55" s="545"/>
      <c r="C55" s="212"/>
      <c r="D55" s="99"/>
      <c r="E55" s="200"/>
      <c r="F55" s="201"/>
      <c r="G55" s="352"/>
      <c r="H55" s="386"/>
      <c r="I55" s="352"/>
      <c r="J55" s="228"/>
      <c r="K55" s="386"/>
      <c r="L55" s="223"/>
      <c r="O55" s="103"/>
      <c r="T55" s="55"/>
      <c r="U55" s="55"/>
      <c r="V55" s="120"/>
      <c r="W55" s="55"/>
      <c r="X55" s="120"/>
      <c r="Y55" s="55"/>
    </row>
    <row r="56" spans="1:25" ht="14.5" x14ac:dyDescent="0.35">
      <c r="A56" s="199"/>
      <c r="B56" s="545"/>
      <c r="C56" s="212"/>
      <c r="D56" s="99"/>
      <c r="E56" s="200"/>
      <c r="F56" s="201"/>
      <c r="G56" s="352"/>
      <c r="H56" s="409"/>
      <c r="I56" s="352"/>
      <c r="J56" s="228"/>
      <c r="K56" s="386"/>
      <c r="L56" s="223"/>
      <c r="O56" s="103"/>
      <c r="T56" s="55"/>
      <c r="U56" s="55"/>
      <c r="V56" s="120"/>
      <c r="W56" s="55"/>
      <c r="X56" s="120"/>
      <c r="Y56" s="55"/>
    </row>
    <row r="57" spans="1:25" ht="14.5" x14ac:dyDescent="0.35">
      <c r="A57" s="199"/>
      <c r="B57" s="545"/>
      <c r="C57" s="212"/>
      <c r="D57" s="99"/>
      <c r="E57" s="200"/>
      <c r="F57" s="201"/>
      <c r="G57" s="352"/>
      <c r="H57" s="386"/>
      <c r="I57" s="352"/>
      <c r="J57" s="228"/>
      <c r="K57" s="386"/>
      <c r="L57" s="223"/>
      <c r="O57" s="103"/>
      <c r="T57" s="55"/>
      <c r="U57" s="55"/>
      <c r="V57" s="120"/>
      <c r="W57" s="55"/>
      <c r="X57" s="120"/>
      <c r="Y57" s="55"/>
    </row>
    <row r="58" spans="1:25" ht="14.5" x14ac:dyDescent="0.35">
      <c r="A58" s="199"/>
      <c r="B58" s="545"/>
      <c r="C58" s="212"/>
      <c r="D58" s="99"/>
      <c r="E58" s="200"/>
      <c r="F58" s="201"/>
      <c r="G58" s="352"/>
      <c r="H58" s="409"/>
      <c r="I58" s="352"/>
      <c r="J58" s="228"/>
      <c r="K58" s="386"/>
      <c r="L58" s="223"/>
      <c r="O58" s="103"/>
      <c r="T58" s="55"/>
      <c r="U58" s="55"/>
      <c r="V58" s="120"/>
      <c r="W58" s="55"/>
      <c r="X58" s="120"/>
      <c r="Y58" s="55"/>
    </row>
    <row r="59" spans="1:25" ht="14.5" x14ac:dyDescent="0.35">
      <c r="A59" s="199"/>
      <c r="B59" s="545"/>
      <c r="C59" s="212"/>
      <c r="D59" s="99"/>
      <c r="E59" s="200"/>
      <c r="F59" s="201"/>
      <c r="G59" s="352"/>
      <c r="H59" s="386"/>
      <c r="I59" s="352"/>
      <c r="J59" s="228"/>
      <c r="K59" s="386"/>
      <c r="L59" s="223"/>
      <c r="O59" s="103"/>
      <c r="T59" s="55"/>
      <c r="U59" s="55"/>
      <c r="V59" s="120"/>
      <c r="W59" s="55"/>
      <c r="X59" s="120"/>
      <c r="Y59" s="55"/>
    </row>
    <row r="60" spans="1:25" ht="14.5" x14ac:dyDescent="0.35">
      <c r="A60" s="199"/>
      <c r="B60" s="545"/>
      <c r="C60" s="212"/>
      <c r="D60" s="99"/>
      <c r="E60" s="200"/>
      <c r="F60" s="201"/>
      <c r="G60" s="352"/>
      <c r="H60" s="386"/>
      <c r="I60" s="352"/>
      <c r="J60" s="228"/>
      <c r="K60" s="386"/>
      <c r="L60" s="223"/>
      <c r="O60" s="103"/>
      <c r="T60" s="55"/>
      <c r="U60" s="55"/>
      <c r="V60" s="120"/>
      <c r="W60" s="55"/>
      <c r="X60" s="120"/>
      <c r="Y60" s="55"/>
    </row>
    <row r="61" spans="1:25" ht="14.5" x14ac:dyDescent="0.35">
      <c r="A61" s="199"/>
      <c r="B61" s="545"/>
      <c r="C61" s="212"/>
      <c r="D61" s="226"/>
      <c r="E61" s="200"/>
      <c r="F61" s="201"/>
      <c r="G61" s="352"/>
      <c r="H61" s="386"/>
      <c r="I61" s="352"/>
      <c r="J61" s="228"/>
      <c r="K61" s="386"/>
      <c r="L61" s="223"/>
      <c r="O61" s="103"/>
      <c r="T61" s="55"/>
      <c r="U61" s="55"/>
      <c r="V61" s="120"/>
      <c r="W61" s="55"/>
      <c r="X61" s="120"/>
      <c r="Y61" s="55"/>
    </row>
    <row r="62" spans="1:25" ht="14.5" x14ac:dyDescent="0.35">
      <c r="A62" s="199"/>
      <c r="B62" s="545"/>
      <c r="C62" s="212"/>
      <c r="D62" s="99"/>
      <c r="E62" s="200"/>
      <c r="F62" s="201"/>
      <c r="G62" s="352"/>
      <c r="H62" s="386"/>
      <c r="I62" s="352"/>
      <c r="J62" s="228"/>
      <c r="K62" s="386"/>
      <c r="L62" s="223"/>
      <c r="O62" s="103"/>
      <c r="T62" s="55"/>
      <c r="U62" s="55"/>
      <c r="V62" s="120"/>
      <c r="W62" s="55"/>
      <c r="X62" s="120"/>
      <c r="Y62" s="55"/>
    </row>
    <row r="63" spans="1:25" ht="14.5" x14ac:dyDescent="0.35">
      <c r="A63" s="199"/>
      <c r="B63" s="545"/>
      <c r="C63" s="212"/>
      <c r="D63" s="99"/>
      <c r="E63" s="200"/>
      <c r="F63" s="201"/>
      <c r="G63" s="352"/>
      <c r="H63" s="386"/>
      <c r="I63" s="352"/>
      <c r="J63" s="228"/>
      <c r="K63" s="386"/>
      <c r="L63" s="223"/>
      <c r="O63" s="103"/>
      <c r="T63" s="55"/>
      <c r="U63" s="55"/>
      <c r="V63" s="120"/>
      <c r="W63" s="55"/>
      <c r="X63" s="120"/>
      <c r="Y63" s="55"/>
    </row>
    <row r="64" spans="1:25" ht="14.5" x14ac:dyDescent="0.35">
      <c r="A64" s="199"/>
      <c r="B64" s="545"/>
      <c r="C64" s="212"/>
      <c r="D64" s="99"/>
      <c r="E64" s="200"/>
      <c r="F64" s="201"/>
      <c r="G64" s="352"/>
      <c r="H64" s="386"/>
      <c r="I64" s="352"/>
      <c r="J64" s="228"/>
      <c r="K64" s="386"/>
      <c r="L64" s="223"/>
      <c r="O64" s="103"/>
      <c r="T64" s="55"/>
      <c r="U64" s="55"/>
      <c r="V64" s="120"/>
      <c r="W64" s="55"/>
      <c r="X64" s="120"/>
      <c r="Y64" s="55"/>
    </row>
    <row r="65" spans="1:25" ht="14.5" x14ac:dyDescent="0.35">
      <c r="A65" s="199"/>
      <c r="B65" s="545"/>
      <c r="C65" s="212"/>
      <c r="D65" s="99"/>
      <c r="E65" s="200"/>
      <c r="F65" s="201"/>
      <c r="G65" s="352"/>
      <c r="H65" s="386"/>
      <c r="I65" s="352"/>
      <c r="J65" s="228"/>
      <c r="K65" s="386"/>
      <c r="L65" s="223"/>
      <c r="O65" s="103"/>
      <c r="T65" s="55"/>
      <c r="U65" s="55"/>
      <c r="V65" s="120"/>
      <c r="W65" s="55"/>
      <c r="X65" s="120"/>
      <c r="Y65" s="55"/>
    </row>
    <row r="66" spans="1:25" ht="14.5" x14ac:dyDescent="0.35">
      <c r="A66" s="199"/>
      <c r="B66" s="545"/>
      <c r="C66" s="212"/>
      <c r="D66" s="99"/>
      <c r="E66" s="200"/>
      <c r="F66" s="201"/>
      <c r="G66" s="352"/>
      <c r="H66" s="386"/>
      <c r="I66" s="352"/>
      <c r="J66" s="228"/>
      <c r="K66" s="386"/>
      <c r="L66" s="223"/>
      <c r="O66" s="103"/>
      <c r="T66" s="55"/>
      <c r="U66" s="55"/>
      <c r="V66" s="120"/>
      <c r="W66" s="55"/>
      <c r="X66" s="120"/>
      <c r="Y66" s="55"/>
    </row>
    <row r="67" spans="1:25" ht="14.5" x14ac:dyDescent="0.35">
      <c r="A67" s="199"/>
      <c r="B67" s="545"/>
      <c r="C67" s="212"/>
      <c r="D67" s="99"/>
      <c r="E67" s="200"/>
      <c r="F67" s="201"/>
      <c r="G67" s="352"/>
      <c r="H67" s="386"/>
      <c r="I67" s="352"/>
      <c r="J67" s="228"/>
      <c r="K67" s="386"/>
      <c r="L67" s="223"/>
      <c r="O67" s="103"/>
      <c r="T67" s="55"/>
      <c r="U67" s="55"/>
      <c r="V67" s="120"/>
      <c r="W67" s="55"/>
      <c r="X67" s="120"/>
      <c r="Y67" s="55"/>
    </row>
    <row r="68" spans="1:25" ht="14.5" x14ac:dyDescent="0.35">
      <c r="A68" s="199"/>
      <c r="B68" s="545"/>
      <c r="C68" s="212"/>
      <c r="D68" s="99"/>
      <c r="E68" s="200"/>
      <c r="F68" s="201"/>
      <c r="G68" s="352"/>
      <c r="H68" s="386"/>
      <c r="I68" s="352"/>
      <c r="J68" s="228"/>
      <c r="K68" s="386"/>
      <c r="L68" s="223"/>
      <c r="O68" s="103"/>
      <c r="T68" s="55"/>
      <c r="U68" s="55"/>
      <c r="V68" s="120"/>
      <c r="W68" s="55"/>
      <c r="X68" s="120"/>
      <c r="Y68" s="55"/>
    </row>
    <row r="69" spans="1:25" ht="14.5" x14ac:dyDescent="0.35">
      <c r="A69" s="199"/>
      <c r="B69" s="545"/>
      <c r="C69" s="212"/>
      <c r="D69" s="99"/>
      <c r="E69" s="200"/>
      <c r="F69" s="201"/>
      <c r="G69" s="352"/>
      <c r="H69" s="386"/>
      <c r="I69" s="352"/>
      <c r="J69" s="228"/>
      <c r="K69" s="386"/>
      <c r="L69" s="223"/>
      <c r="O69" s="103"/>
      <c r="T69" s="55"/>
      <c r="U69" s="55"/>
      <c r="V69" s="120"/>
      <c r="W69" s="55"/>
      <c r="X69" s="120"/>
      <c r="Y69" s="55"/>
    </row>
    <row r="70" spans="1:25" ht="14.5" x14ac:dyDescent="0.35">
      <c r="A70" s="199"/>
      <c r="B70" s="545"/>
      <c r="C70" s="212"/>
      <c r="D70" s="99"/>
      <c r="E70" s="200"/>
      <c r="F70" s="201"/>
      <c r="G70" s="352"/>
      <c r="H70" s="386"/>
      <c r="I70" s="352"/>
      <c r="J70" s="228"/>
      <c r="K70" s="386"/>
      <c r="L70" s="223"/>
      <c r="O70" s="103"/>
      <c r="T70" s="55"/>
      <c r="U70" s="55"/>
      <c r="V70" s="120"/>
      <c r="W70" s="55"/>
      <c r="X70" s="120"/>
      <c r="Y70" s="55"/>
    </row>
    <row r="71" spans="1:25" ht="14.5" x14ac:dyDescent="0.35">
      <c r="A71" s="199"/>
      <c r="B71" s="545"/>
      <c r="C71" s="212"/>
      <c r="D71" s="99"/>
      <c r="E71" s="200"/>
      <c r="F71" s="201"/>
      <c r="G71" s="352"/>
      <c r="H71" s="386"/>
      <c r="I71" s="352"/>
      <c r="J71" s="228"/>
      <c r="K71" s="386"/>
      <c r="L71" s="223"/>
      <c r="O71" s="103"/>
      <c r="T71" s="55"/>
      <c r="U71" s="55"/>
      <c r="V71" s="120"/>
      <c r="W71" s="55"/>
      <c r="X71" s="120"/>
      <c r="Y71" s="55"/>
    </row>
    <row r="72" spans="1:25" ht="14.5" x14ac:dyDescent="0.35">
      <c r="A72" s="199"/>
      <c r="B72" s="545"/>
      <c r="C72" s="212"/>
      <c r="D72" s="99"/>
      <c r="E72" s="200"/>
      <c r="F72" s="201"/>
      <c r="G72" s="352"/>
      <c r="H72" s="386"/>
      <c r="I72" s="352"/>
      <c r="J72" s="228"/>
      <c r="K72" s="386"/>
      <c r="L72" s="223"/>
      <c r="O72" s="103"/>
      <c r="T72" s="55"/>
      <c r="U72" s="55"/>
      <c r="V72" s="120"/>
      <c r="W72" s="55"/>
      <c r="X72" s="120"/>
      <c r="Y72" s="55"/>
    </row>
    <row r="73" spans="1:25" ht="14.5" x14ac:dyDescent="0.35">
      <c r="A73" s="199"/>
      <c r="B73" s="545"/>
      <c r="C73" s="212"/>
      <c r="D73" s="99"/>
      <c r="E73" s="200"/>
      <c r="F73" s="201"/>
      <c r="G73" s="352"/>
      <c r="H73" s="386"/>
      <c r="I73" s="352"/>
      <c r="J73" s="228"/>
      <c r="K73" s="386"/>
      <c r="L73" s="223"/>
      <c r="O73" s="103"/>
      <c r="T73" s="55"/>
      <c r="U73" s="55"/>
      <c r="V73" s="120"/>
      <c r="W73" s="55"/>
      <c r="X73" s="120"/>
      <c r="Y73" s="55"/>
    </row>
    <row r="74" spans="1:25" ht="14.5" x14ac:dyDescent="0.35">
      <c r="A74" s="199"/>
      <c r="B74" s="545"/>
      <c r="C74" s="212"/>
      <c r="D74" s="99"/>
      <c r="E74" s="200"/>
      <c r="F74" s="201"/>
      <c r="G74" s="352"/>
      <c r="H74" s="386"/>
      <c r="I74" s="352"/>
      <c r="J74" s="228"/>
      <c r="K74" s="386"/>
      <c r="L74" s="223"/>
      <c r="O74" s="103"/>
      <c r="T74" s="55"/>
      <c r="U74" s="55"/>
      <c r="V74" s="120"/>
      <c r="W74" s="55"/>
      <c r="X74" s="120"/>
      <c r="Y74" s="55"/>
    </row>
    <row r="75" spans="1:25" ht="14.5" x14ac:dyDescent="0.35">
      <c r="A75" s="199"/>
      <c r="B75" s="545"/>
      <c r="C75" s="212"/>
      <c r="D75" s="99"/>
      <c r="E75" s="200"/>
      <c r="F75" s="201"/>
      <c r="G75" s="352"/>
      <c r="H75" s="386"/>
      <c r="I75" s="352"/>
      <c r="J75" s="228"/>
      <c r="K75" s="386"/>
      <c r="L75" s="223"/>
      <c r="O75" s="103"/>
      <c r="T75" s="55"/>
      <c r="U75" s="55"/>
      <c r="V75" s="120"/>
      <c r="W75" s="55"/>
      <c r="X75" s="120"/>
      <c r="Y75" s="55"/>
    </row>
    <row r="76" spans="1:25" ht="14.5" x14ac:dyDescent="0.35">
      <c r="A76" s="199"/>
      <c r="B76" s="545"/>
      <c r="C76" s="212"/>
      <c r="D76" s="99"/>
      <c r="E76" s="200"/>
      <c r="F76" s="201"/>
      <c r="G76" s="352"/>
      <c r="H76" s="386"/>
      <c r="I76" s="352"/>
      <c r="J76" s="228"/>
      <c r="K76" s="386"/>
      <c r="L76" s="223"/>
      <c r="O76" s="103"/>
      <c r="T76" s="55"/>
      <c r="U76" s="55"/>
      <c r="V76" s="120"/>
      <c r="W76" s="55"/>
      <c r="X76" s="120"/>
      <c r="Y76" s="55"/>
    </row>
    <row r="77" spans="1:25" ht="14.5" x14ac:dyDescent="0.35">
      <c r="A77" s="199"/>
      <c r="B77" s="545"/>
      <c r="C77" s="212"/>
      <c r="D77" s="99"/>
      <c r="E77" s="200"/>
      <c r="F77" s="201"/>
      <c r="G77" s="352"/>
      <c r="H77" s="386"/>
      <c r="I77" s="352"/>
      <c r="J77" s="228"/>
      <c r="K77" s="386"/>
      <c r="L77" s="223"/>
      <c r="O77" s="103"/>
      <c r="T77" s="55"/>
      <c r="U77" s="55"/>
      <c r="V77" s="120"/>
      <c r="W77" s="55"/>
      <c r="X77" s="120"/>
      <c r="Y77" s="55"/>
    </row>
    <row r="78" spans="1:25" ht="14.5" x14ac:dyDescent="0.35">
      <c r="A78" s="199"/>
      <c r="B78" s="545"/>
      <c r="C78" s="212"/>
      <c r="D78" s="99"/>
      <c r="E78" s="200"/>
      <c r="F78" s="201"/>
      <c r="G78" s="352"/>
      <c r="H78" s="386"/>
      <c r="I78" s="352"/>
      <c r="J78" s="228"/>
      <c r="K78" s="386"/>
      <c r="L78" s="223"/>
      <c r="O78" s="103"/>
      <c r="T78" s="55"/>
      <c r="U78" s="55"/>
      <c r="V78" s="120"/>
      <c r="W78" s="55"/>
      <c r="X78" s="120"/>
      <c r="Y78" s="55"/>
    </row>
    <row r="79" spans="1:25" ht="14.5" x14ac:dyDescent="0.35">
      <c r="A79" s="199"/>
      <c r="B79" s="545"/>
      <c r="C79" s="212"/>
      <c r="D79" s="99"/>
      <c r="E79" s="200"/>
      <c r="F79" s="201"/>
      <c r="G79" s="352"/>
      <c r="H79" s="386"/>
      <c r="I79" s="352"/>
      <c r="J79" s="228"/>
      <c r="K79" s="386"/>
      <c r="L79" s="223"/>
      <c r="O79" s="103"/>
      <c r="T79" s="55"/>
      <c r="U79" s="55"/>
      <c r="V79" s="120"/>
      <c r="W79" s="55"/>
      <c r="X79" s="120"/>
      <c r="Y79" s="55"/>
    </row>
    <row r="80" spans="1:25" ht="14.5" x14ac:dyDescent="0.35">
      <c r="A80" s="199"/>
      <c r="B80" s="545"/>
      <c r="C80" s="212"/>
      <c r="D80" s="99"/>
      <c r="E80" s="200"/>
      <c r="F80" s="201"/>
      <c r="G80" s="352"/>
      <c r="H80" s="386"/>
      <c r="I80" s="352"/>
      <c r="J80" s="228"/>
      <c r="K80" s="386"/>
      <c r="L80" s="223"/>
      <c r="O80" s="103"/>
      <c r="T80" s="55"/>
      <c r="U80" s="55"/>
      <c r="V80" s="120"/>
      <c r="W80" s="55"/>
      <c r="X80" s="120"/>
      <c r="Y80" s="55"/>
    </row>
    <row r="81" spans="1:25" ht="14.5" x14ac:dyDescent="0.35">
      <c r="A81" s="199"/>
      <c r="B81" s="545"/>
      <c r="C81" s="212"/>
      <c r="D81" s="99"/>
      <c r="E81" s="200"/>
      <c r="F81" s="201"/>
      <c r="G81" s="352"/>
      <c r="H81" s="386"/>
      <c r="I81" s="352"/>
      <c r="J81" s="228"/>
      <c r="K81" s="386"/>
      <c r="L81" s="223"/>
      <c r="O81" s="103"/>
      <c r="T81" s="55"/>
      <c r="U81" s="55"/>
      <c r="V81" s="120"/>
      <c r="W81" s="55"/>
      <c r="X81" s="120"/>
      <c r="Y81" s="55"/>
    </row>
    <row r="82" spans="1:25" ht="14.5" x14ac:dyDescent="0.35">
      <c r="A82" s="199"/>
      <c r="B82" s="545"/>
      <c r="C82" s="212"/>
      <c r="D82" s="99"/>
      <c r="E82" s="200"/>
      <c r="F82" s="201"/>
      <c r="G82" s="352"/>
      <c r="H82" s="386"/>
      <c r="I82" s="352"/>
      <c r="J82" s="228"/>
      <c r="K82" s="386"/>
      <c r="L82" s="223"/>
      <c r="O82" s="103"/>
      <c r="T82" s="55"/>
      <c r="U82" s="55"/>
      <c r="V82" s="120"/>
      <c r="W82" s="55"/>
      <c r="X82" s="120"/>
      <c r="Y82" s="55"/>
    </row>
    <row r="83" spans="1:25" ht="14.5" x14ac:dyDescent="0.35">
      <c r="A83" s="199"/>
      <c r="B83" s="545"/>
      <c r="C83" s="212"/>
      <c r="D83" s="99"/>
      <c r="E83" s="200"/>
      <c r="F83" s="201"/>
      <c r="G83" s="352"/>
      <c r="H83" s="386"/>
      <c r="I83" s="352"/>
      <c r="J83" s="228"/>
      <c r="K83" s="386"/>
      <c r="L83" s="223"/>
      <c r="O83" s="103"/>
      <c r="T83" s="55"/>
      <c r="U83" s="55"/>
      <c r="V83" s="120"/>
      <c r="W83" s="55"/>
      <c r="X83" s="120"/>
      <c r="Y83" s="55"/>
    </row>
    <row r="84" spans="1:25" ht="14.5" x14ac:dyDescent="0.35">
      <c r="A84" s="199"/>
      <c r="B84" s="545"/>
      <c r="C84" s="212"/>
      <c r="D84" s="99"/>
      <c r="E84" s="200"/>
      <c r="F84" s="201"/>
      <c r="G84" s="352"/>
      <c r="H84" s="386"/>
      <c r="I84" s="352"/>
      <c r="J84" s="228"/>
      <c r="K84" s="386"/>
      <c r="L84" s="223"/>
      <c r="O84" s="103"/>
      <c r="T84" s="55"/>
      <c r="U84" s="55"/>
      <c r="V84" s="120"/>
      <c r="W84" s="55"/>
      <c r="X84" s="120"/>
      <c r="Y84" s="55"/>
    </row>
    <row r="85" spans="1:25" ht="14.5" x14ac:dyDescent="0.35">
      <c r="A85" s="199"/>
      <c r="B85" s="545"/>
      <c r="C85" s="212"/>
      <c r="D85" s="99"/>
      <c r="E85" s="200"/>
      <c r="F85" s="201"/>
      <c r="G85" s="352"/>
      <c r="H85" s="386"/>
      <c r="I85" s="352"/>
      <c r="J85" s="228"/>
      <c r="K85" s="386"/>
      <c r="L85" s="223"/>
      <c r="O85" s="103"/>
      <c r="T85" s="55"/>
      <c r="U85" s="55"/>
      <c r="V85" s="120"/>
      <c r="W85" s="55"/>
      <c r="X85" s="120"/>
      <c r="Y85" s="55"/>
    </row>
    <row r="86" spans="1:25" ht="14.5" x14ac:dyDescent="0.35">
      <c r="A86" s="199"/>
      <c r="B86" s="545"/>
      <c r="C86" s="212"/>
      <c r="D86" s="99"/>
      <c r="E86" s="200"/>
      <c r="F86" s="201"/>
      <c r="G86" s="352"/>
      <c r="H86" s="386"/>
      <c r="I86" s="352"/>
      <c r="J86" s="228"/>
      <c r="K86" s="386"/>
      <c r="L86" s="223"/>
      <c r="O86" s="103"/>
      <c r="T86" s="55"/>
      <c r="U86" s="55"/>
      <c r="V86" s="120"/>
      <c r="W86" s="55"/>
      <c r="X86" s="120"/>
      <c r="Y86" s="55"/>
    </row>
    <row r="87" spans="1:25" ht="14.5" x14ac:dyDescent="0.35">
      <c r="A87" s="199"/>
      <c r="B87" s="545"/>
      <c r="C87" s="212"/>
      <c r="D87" s="99"/>
      <c r="E87" s="200"/>
      <c r="F87" s="201"/>
      <c r="G87" s="352"/>
      <c r="H87" s="386"/>
      <c r="I87" s="352"/>
      <c r="J87" s="228"/>
      <c r="K87" s="386"/>
      <c r="L87" s="223"/>
      <c r="O87" s="103"/>
      <c r="T87" s="55"/>
      <c r="U87" s="55"/>
      <c r="V87" s="120"/>
      <c r="W87" s="55"/>
      <c r="X87" s="120"/>
      <c r="Y87" s="55"/>
    </row>
    <row r="88" spans="1:25" ht="14.5" x14ac:dyDescent="0.35">
      <c r="A88" s="199"/>
      <c r="B88" s="545"/>
      <c r="C88" s="212"/>
      <c r="D88" s="99"/>
      <c r="E88" s="200"/>
      <c r="F88" s="201"/>
      <c r="G88" s="352"/>
      <c r="H88" s="386"/>
      <c r="I88" s="352"/>
      <c r="J88" s="228"/>
      <c r="K88" s="386"/>
      <c r="L88" s="223"/>
      <c r="O88" s="103"/>
      <c r="T88" s="55"/>
      <c r="U88" s="55"/>
      <c r="V88" s="120"/>
      <c r="W88" s="55"/>
      <c r="X88" s="120"/>
      <c r="Y88" s="55"/>
    </row>
    <row r="89" spans="1:25" ht="14.5" x14ac:dyDescent="0.35">
      <c r="A89" s="199"/>
      <c r="B89" s="545"/>
      <c r="C89" s="212"/>
      <c r="D89" s="99"/>
      <c r="E89" s="200"/>
      <c r="F89" s="201"/>
      <c r="G89" s="352"/>
      <c r="H89" s="386"/>
      <c r="I89" s="352"/>
      <c r="J89" s="228"/>
      <c r="K89" s="386"/>
      <c r="L89" s="223"/>
      <c r="O89" s="103"/>
      <c r="T89" s="55"/>
      <c r="U89" s="55"/>
      <c r="V89" s="120"/>
      <c r="W89" s="55"/>
      <c r="X89" s="120"/>
      <c r="Y89" s="55"/>
    </row>
    <row r="90" spans="1:25" ht="14.5" x14ac:dyDescent="0.35">
      <c r="A90" s="199"/>
      <c r="B90" s="545"/>
      <c r="C90" s="212"/>
      <c r="D90" s="99"/>
      <c r="E90" s="200"/>
      <c r="F90" s="201"/>
      <c r="G90" s="352"/>
      <c r="H90" s="386"/>
      <c r="I90" s="352"/>
      <c r="J90" s="228"/>
      <c r="K90" s="386"/>
      <c r="L90" s="223"/>
      <c r="O90" s="103"/>
      <c r="T90" s="55"/>
      <c r="U90" s="55"/>
      <c r="V90" s="120"/>
      <c r="W90" s="55"/>
      <c r="X90" s="120"/>
      <c r="Y90" s="55"/>
    </row>
    <row r="91" spans="1:25" ht="14.5" x14ac:dyDescent="0.35">
      <c r="A91" s="199"/>
      <c r="B91" s="545"/>
      <c r="C91" s="212"/>
      <c r="D91" s="99"/>
      <c r="E91" s="200"/>
      <c r="F91" s="201"/>
      <c r="G91" s="352"/>
      <c r="H91" s="386"/>
      <c r="I91" s="352"/>
      <c r="J91" s="228"/>
      <c r="K91" s="386"/>
      <c r="L91" s="223"/>
      <c r="O91" s="103"/>
      <c r="T91" s="55"/>
      <c r="U91" s="55"/>
      <c r="V91" s="120"/>
      <c r="W91" s="55"/>
      <c r="X91" s="120"/>
      <c r="Y91" s="55"/>
    </row>
    <row r="92" spans="1:25" ht="14.5" x14ac:dyDescent="0.35">
      <c r="A92" s="199"/>
      <c r="B92" s="545"/>
      <c r="C92" s="212"/>
      <c r="D92" s="99"/>
      <c r="E92" s="200"/>
      <c r="F92" s="201"/>
      <c r="G92" s="352"/>
      <c r="H92" s="386"/>
      <c r="I92" s="352"/>
      <c r="J92" s="228"/>
      <c r="K92" s="386"/>
      <c r="L92" s="223"/>
      <c r="O92" s="103"/>
      <c r="T92" s="55"/>
      <c r="U92" s="55"/>
      <c r="V92" s="120"/>
      <c r="W92" s="55"/>
      <c r="X92" s="120"/>
      <c r="Y92" s="55"/>
    </row>
    <row r="93" spans="1:25" ht="14.5" x14ac:dyDescent="0.35">
      <c r="A93" s="199"/>
      <c r="B93" s="545"/>
      <c r="C93" s="212"/>
      <c r="D93" s="99"/>
      <c r="E93" s="200"/>
      <c r="F93" s="201"/>
      <c r="G93" s="352"/>
      <c r="H93" s="386"/>
      <c r="I93" s="352"/>
      <c r="J93" s="228"/>
      <c r="K93" s="386"/>
      <c r="L93" s="223"/>
      <c r="O93" s="103"/>
      <c r="T93" s="55"/>
      <c r="U93" s="55"/>
      <c r="V93" s="120"/>
      <c r="W93" s="55"/>
      <c r="X93" s="120"/>
      <c r="Y93" s="55"/>
    </row>
    <row r="94" spans="1:25" ht="14.5" x14ac:dyDescent="0.35">
      <c r="A94" s="199"/>
      <c r="B94" s="545"/>
      <c r="C94" s="212"/>
      <c r="D94" s="99"/>
      <c r="E94" s="200"/>
      <c r="F94" s="201"/>
      <c r="G94" s="352"/>
      <c r="H94" s="386"/>
      <c r="I94" s="352"/>
      <c r="J94" s="228"/>
      <c r="K94" s="386"/>
      <c r="L94" s="223"/>
      <c r="O94" s="103"/>
      <c r="T94" s="55"/>
      <c r="U94" s="55"/>
      <c r="V94" s="120"/>
      <c r="W94" s="55"/>
      <c r="X94" s="120"/>
      <c r="Y94" s="55"/>
    </row>
    <row r="95" spans="1:25" ht="14.5" x14ac:dyDescent="0.35">
      <c r="A95" s="199"/>
      <c r="B95" s="545"/>
      <c r="C95" s="212"/>
      <c r="D95" s="99"/>
      <c r="E95" s="200"/>
      <c r="F95" s="201"/>
      <c r="G95" s="352"/>
      <c r="H95" s="386"/>
      <c r="I95" s="352"/>
      <c r="J95" s="228"/>
      <c r="K95" s="386"/>
      <c r="L95" s="223"/>
      <c r="O95" s="103"/>
      <c r="T95" s="55"/>
      <c r="U95" s="55"/>
      <c r="V95" s="120"/>
      <c r="W95" s="55"/>
      <c r="X95" s="120"/>
      <c r="Y95" s="55"/>
    </row>
    <row r="96" spans="1:25" ht="14.5" x14ac:dyDescent="0.35">
      <c r="A96" s="199"/>
      <c r="B96" s="545"/>
      <c r="C96" s="212"/>
      <c r="D96" s="99"/>
      <c r="E96" s="200"/>
      <c r="F96" s="201"/>
      <c r="G96" s="352"/>
      <c r="H96" s="386"/>
      <c r="I96" s="352"/>
      <c r="J96" s="228"/>
      <c r="K96" s="386"/>
      <c r="L96" s="223"/>
      <c r="O96" s="103"/>
      <c r="T96" s="55"/>
      <c r="U96" s="55"/>
      <c r="V96" s="120"/>
      <c r="W96" s="55"/>
      <c r="X96" s="120"/>
      <c r="Y96" s="55"/>
    </row>
    <row r="97" spans="1:25" ht="14.5" x14ac:dyDescent="0.35">
      <c r="A97" s="199"/>
      <c r="B97" s="545"/>
      <c r="C97" s="212"/>
      <c r="D97" s="99"/>
      <c r="E97" s="200"/>
      <c r="F97" s="201"/>
      <c r="G97" s="352"/>
      <c r="H97" s="386"/>
      <c r="I97" s="352"/>
      <c r="J97" s="228"/>
      <c r="K97" s="386"/>
      <c r="L97" s="223"/>
      <c r="O97" s="103"/>
      <c r="T97" s="55"/>
      <c r="U97" s="55"/>
      <c r="V97" s="120"/>
      <c r="W97" s="55"/>
      <c r="X97" s="120"/>
      <c r="Y97" s="55"/>
    </row>
    <row r="98" spans="1:25" ht="14.5" x14ac:dyDescent="0.35">
      <c r="A98" s="199"/>
      <c r="B98" s="545"/>
      <c r="C98" s="212"/>
      <c r="D98" s="99"/>
      <c r="E98" s="200"/>
      <c r="F98" s="201"/>
      <c r="G98" s="352"/>
      <c r="H98" s="386"/>
      <c r="I98" s="352"/>
      <c r="J98" s="228"/>
      <c r="K98" s="386"/>
      <c r="L98" s="223"/>
      <c r="O98" s="103"/>
      <c r="T98" s="55"/>
      <c r="U98" s="55"/>
      <c r="V98" s="120"/>
      <c r="W98" s="55"/>
      <c r="X98" s="120"/>
      <c r="Y98" s="55"/>
    </row>
    <row r="99" spans="1:25" ht="14.5" x14ac:dyDescent="0.35">
      <c r="A99" s="199"/>
      <c r="B99" s="545"/>
      <c r="C99" s="212"/>
      <c r="D99" s="226"/>
      <c r="E99" s="200"/>
      <c r="F99" s="201"/>
      <c r="G99" s="352"/>
      <c r="H99" s="386"/>
      <c r="I99" s="352"/>
      <c r="J99" s="228"/>
      <c r="K99" s="386"/>
      <c r="L99" s="223"/>
      <c r="O99" s="103"/>
      <c r="T99" s="55"/>
      <c r="U99" s="55"/>
      <c r="V99" s="120"/>
      <c r="W99" s="55"/>
      <c r="X99" s="120"/>
      <c r="Y99" s="55"/>
    </row>
    <row r="100" spans="1:25" ht="14.5" x14ac:dyDescent="0.35">
      <c r="A100" s="199"/>
      <c r="B100" s="545"/>
      <c r="C100" s="212"/>
      <c r="D100" s="99"/>
      <c r="E100" s="200"/>
      <c r="F100" s="201"/>
      <c r="G100" s="352"/>
      <c r="H100" s="386"/>
      <c r="I100" s="352"/>
      <c r="J100" s="228"/>
      <c r="K100" s="386"/>
      <c r="L100" s="223"/>
      <c r="O100" s="103"/>
      <c r="T100" s="55"/>
      <c r="U100" s="55"/>
      <c r="V100" s="120"/>
      <c r="W100" s="55"/>
      <c r="X100" s="120"/>
      <c r="Y100" s="55"/>
    </row>
    <row r="101" spans="1:25" ht="14.5" x14ac:dyDescent="0.35">
      <c r="A101" s="199"/>
      <c r="B101" s="545"/>
      <c r="C101" s="212"/>
      <c r="D101" s="99"/>
      <c r="E101" s="200"/>
      <c r="F101" s="201"/>
      <c r="G101" s="352"/>
      <c r="H101" s="386"/>
      <c r="I101" s="352"/>
      <c r="J101" s="228"/>
      <c r="K101" s="386"/>
      <c r="L101" s="223"/>
      <c r="O101" s="106"/>
    </row>
    <row r="102" spans="1:25" ht="14.5" x14ac:dyDescent="0.35">
      <c r="A102" s="199"/>
      <c r="B102" s="545"/>
      <c r="C102" s="212"/>
      <c r="D102" s="226"/>
      <c r="E102" s="200"/>
      <c r="F102" s="201"/>
      <c r="G102" s="352"/>
      <c r="H102" s="386"/>
      <c r="I102" s="352"/>
      <c r="J102" s="228"/>
      <c r="K102" s="386"/>
      <c r="L102" s="223"/>
      <c r="O102" s="103"/>
      <c r="U102" s="55"/>
      <c r="V102" s="120"/>
      <c r="W102" s="55"/>
      <c r="X102" s="120"/>
      <c r="Y102" s="55"/>
    </row>
    <row r="103" spans="1:25" ht="14.5" x14ac:dyDescent="0.35">
      <c r="A103" s="199"/>
      <c r="B103" s="545"/>
      <c r="C103" s="212"/>
      <c r="D103" s="226"/>
      <c r="E103" s="200"/>
      <c r="F103" s="201"/>
      <c r="G103" s="352"/>
      <c r="H103" s="386"/>
      <c r="I103" s="352"/>
      <c r="J103" s="228"/>
      <c r="K103" s="386"/>
      <c r="L103" s="223"/>
      <c r="O103" s="106"/>
    </row>
    <row r="104" spans="1:25" ht="14.5" x14ac:dyDescent="0.35">
      <c r="A104" s="199"/>
      <c r="B104" s="545"/>
      <c r="C104" s="212"/>
      <c r="D104" s="99"/>
      <c r="E104" s="200"/>
      <c r="F104" s="201"/>
      <c r="G104" s="352"/>
      <c r="H104" s="386"/>
      <c r="I104" s="352"/>
      <c r="J104" s="228"/>
      <c r="K104" s="386"/>
      <c r="L104" s="223"/>
      <c r="O104" s="103"/>
      <c r="U104" s="55"/>
      <c r="V104" s="120"/>
      <c r="W104" s="55"/>
      <c r="X104" s="120"/>
      <c r="Y104" s="55"/>
    </row>
    <row r="105" spans="1:25" ht="14.5" x14ac:dyDescent="0.35">
      <c r="A105" s="199"/>
      <c r="B105" s="545"/>
      <c r="C105" s="212"/>
      <c r="D105" s="213"/>
      <c r="E105" s="200"/>
      <c r="F105" s="201"/>
      <c r="G105" s="352"/>
      <c r="H105" s="386"/>
      <c r="I105" s="352"/>
      <c r="J105" s="228"/>
      <c r="K105" s="386"/>
      <c r="L105" s="223"/>
    </row>
    <row r="106" spans="1:25" ht="14.5" x14ac:dyDescent="0.35">
      <c r="A106" s="199"/>
      <c r="B106" s="545"/>
      <c r="C106" s="212"/>
      <c r="D106" s="213"/>
      <c r="E106" s="200"/>
      <c r="F106" s="201"/>
      <c r="G106" s="352"/>
      <c r="H106" s="386"/>
      <c r="I106" s="352"/>
      <c r="J106" s="228"/>
      <c r="K106" s="386"/>
      <c r="L106" s="223"/>
    </row>
    <row r="107" spans="1:25" ht="14.5" x14ac:dyDescent="0.35">
      <c r="A107" s="199"/>
      <c r="B107" s="545"/>
      <c r="C107" s="212"/>
      <c r="D107" s="226"/>
      <c r="E107" s="200"/>
      <c r="F107" s="201"/>
      <c r="G107" s="352"/>
      <c r="H107" s="386"/>
      <c r="I107" s="352"/>
      <c r="J107" s="228"/>
      <c r="K107" s="386"/>
      <c r="L107" s="223"/>
    </row>
    <row r="108" spans="1:25" ht="14.5" x14ac:dyDescent="0.35">
      <c r="A108" s="199"/>
      <c r="B108" s="545"/>
      <c r="C108" s="212"/>
      <c r="D108" s="213"/>
      <c r="E108" s="200"/>
      <c r="F108" s="201"/>
      <c r="G108" s="352"/>
      <c r="H108" s="386"/>
      <c r="I108" s="352"/>
      <c r="J108" s="228"/>
      <c r="K108" s="386"/>
      <c r="L108" s="223"/>
    </row>
    <row r="109" spans="1:25" ht="14.5" x14ac:dyDescent="0.35">
      <c r="A109" s="199"/>
      <c r="B109" s="545"/>
      <c r="C109" s="212"/>
      <c r="D109" s="226"/>
      <c r="E109" s="200"/>
      <c r="F109" s="201"/>
      <c r="G109" s="352"/>
      <c r="H109" s="386"/>
      <c r="I109" s="352"/>
      <c r="J109" s="228"/>
      <c r="K109" s="386"/>
      <c r="L109" s="223"/>
    </row>
    <row r="110" spans="1:25" ht="14.5" x14ac:dyDescent="0.35">
      <c r="A110" s="199"/>
      <c r="B110" s="545"/>
      <c r="C110" s="212"/>
      <c r="D110" s="213"/>
      <c r="E110" s="200"/>
      <c r="F110" s="201"/>
      <c r="G110" s="352"/>
      <c r="H110" s="386"/>
      <c r="I110" s="352"/>
      <c r="J110" s="228"/>
      <c r="K110" s="386"/>
      <c r="L110" s="223"/>
    </row>
    <row r="111" spans="1:25" ht="14.5" x14ac:dyDescent="0.35">
      <c r="A111" s="199"/>
      <c r="B111" s="545"/>
      <c r="C111" s="212"/>
      <c r="D111" s="99"/>
      <c r="E111" s="200"/>
      <c r="F111" s="201"/>
      <c r="G111" s="352"/>
      <c r="H111" s="386"/>
      <c r="I111" s="352"/>
      <c r="J111" s="228"/>
      <c r="K111" s="386"/>
      <c r="L111" s="223"/>
    </row>
    <row r="112" spans="1:25" ht="14.5" x14ac:dyDescent="0.35">
      <c r="A112" s="199"/>
      <c r="B112" s="545"/>
      <c r="C112" s="212"/>
      <c r="D112" s="213"/>
      <c r="E112" s="200"/>
      <c r="F112" s="201"/>
      <c r="G112" s="352"/>
      <c r="H112" s="386"/>
      <c r="I112" s="352"/>
      <c r="J112" s="228"/>
      <c r="K112" s="386"/>
      <c r="L112" s="223"/>
    </row>
    <row r="113" spans="1:12" ht="14.5" x14ac:dyDescent="0.35">
      <c r="A113" s="199"/>
      <c r="B113" s="545"/>
      <c r="C113" s="212"/>
      <c r="D113" s="99"/>
      <c r="E113" s="200"/>
      <c r="F113" s="201"/>
      <c r="G113" s="352"/>
      <c r="H113" s="386"/>
      <c r="I113" s="352"/>
      <c r="J113" s="228"/>
      <c r="K113" s="386"/>
      <c r="L113" s="223"/>
    </row>
    <row r="114" spans="1:12" ht="14.5" x14ac:dyDescent="0.35">
      <c r="A114" s="199"/>
      <c r="B114" s="545"/>
      <c r="C114" s="212"/>
      <c r="D114" s="226"/>
      <c r="E114" s="200"/>
      <c r="F114" s="201"/>
      <c r="G114" s="352"/>
      <c r="H114" s="386"/>
      <c r="I114" s="352"/>
      <c r="J114" s="228"/>
      <c r="K114" s="386"/>
      <c r="L114" s="223"/>
    </row>
    <row r="115" spans="1:12" ht="14.5" x14ac:dyDescent="0.35">
      <c r="A115" s="199"/>
      <c r="B115" s="545"/>
      <c r="C115" s="212"/>
      <c r="D115" s="99"/>
      <c r="E115" s="200"/>
      <c r="F115" s="201"/>
      <c r="G115" s="352"/>
      <c r="H115" s="386"/>
      <c r="I115" s="352"/>
      <c r="J115" s="228"/>
      <c r="K115" s="386"/>
      <c r="L115" s="223"/>
    </row>
    <row r="116" spans="1:12" ht="14.5" x14ac:dyDescent="0.35">
      <c r="A116" s="199"/>
      <c r="B116" s="545"/>
      <c r="C116" s="212"/>
      <c r="D116" s="99"/>
      <c r="E116" s="200"/>
      <c r="F116" s="201"/>
      <c r="G116" s="352"/>
      <c r="H116" s="386"/>
      <c r="I116" s="352"/>
      <c r="J116" s="228"/>
      <c r="K116" s="386"/>
      <c r="L116" s="223"/>
    </row>
    <row r="117" spans="1:12" ht="14.5" x14ac:dyDescent="0.35">
      <c r="A117" s="199"/>
      <c r="B117" s="545"/>
      <c r="C117" s="212"/>
      <c r="D117" s="99"/>
      <c r="E117" s="200"/>
      <c r="F117" s="201"/>
      <c r="G117" s="352"/>
      <c r="H117" s="386"/>
      <c r="I117" s="352"/>
      <c r="J117" s="228"/>
      <c r="K117" s="386"/>
      <c r="L117" s="223"/>
    </row>
    <row r="118" spans="1:12" ht="14.5" x14ac:dyDescent="0.35">
      <c r="A118" s="199"/>
      <c r="B118" s="545"/>
      <c r="C118" s="212"/>
      <c r="D118" s="99"/>
      <c r="E118" s="200"/>
      <c r="F118" s="201"/>
      <c r="G118" s="352"/>
      <c r="H118" s="386"/>
      <c r="I118" s="352"/>
      <c r="J118" s="228"/>
      <c r="K118" s="386"/>
      <c r="L118" s="223"/>
    </row>
    <row r="119" spans="1:12" ht="14.5" x14ac:dyDescent="0.35">
      <c r="A119" s="199"/>
      <c r="B119" s="545"/>
      <c r="C119" s="212"/>
      <c r="D119" s="99"/>
      <c r="E119" s="200"/>
      <c r="F119" s="201"/>
      <c r="G119" s="352"/>
      <c r="H119" s="386"/>
      <c r="I119" s="352"/>
      <c r="J119" s="228"/>
      <c r="K119" s="386"/>
      <c r="L119" s="223"/>
    </row>
    <row r="120" spans="1:12" ht="14.5" x14ac:dyDescent="0.35">
      <c r="A120" s="199"/>
      <c r="B120" s="545"/>
      <c r="C120" s="212"/>
      <c r="D120" s="99"/>
      <c r="E120" s="200"/>
      <c r="F120" s="201"/>
      <c r="G120" s="352"/>
      <c r="H120" s="386"/>
      <c r="I120" s="352"/>
      <c r="J120" s="228"/>
      <c r="K120" s="386"/>
      <c r="L120" s="223"/>
    </row>
    <row r="121" spans="1:12" ht="14.5" x14ac:dyDescent="0.35">
      <c r="A121" s="199"/>
      <c r="B121" s="545"/>
      <c r="C121" s="212"/>
      <c r="D121" s="99"/>
      <c r="E121" s="200"/>
      <c r="F121" s="201"/>
      <c r="G121" s="352"/>
      <c r="H121" s="386"/>
      <c r="I121" s="352"/>
      <c r="J121" s="228"/>
      <c r="K121" s="386"/>
      <c r="L121" s="223"/>
    </row>
    <row r="122" spans="1:12" ht="14.5" x14ac:dyDescent="0.35">
      <c r="A122" s="199"/>
      <c r="B122" s="545"/>
      <c r="C122" s="212"/>
      <c r="D122" s="99"/>
      <c r="E122" s="200"/>
      <c r="F122" s="201"/>
      <c r="G122" s="352"/>
      <c r="H122" s="386"/>
      <c r="I122" s="352"/>
      <c r="J122" s="228"/>
      <c r="K122" s="386"/>
      <c r="L122" s="223"/>
    </row>
    <row r="123" spans="1:12" ht="14.5" x14ac:dyDescent="0.35">
      <c r="A123" s="199"/>
      <c r="B123" s="545"/>
      <c r="C123" s="212"/>
      <c r="D123" s="99"/>
      <c r="E123" s="200"/>
      <c r="F123" s="201"/>
      <c r="G123" s="352"/>
      <c r="H123" s="386"/>
      <c r="I123" s="352"/>
      <c r="J123" s="228"/>
      <c r="K123" s="386"/>
      <c r="L123" s="223"/>
    </row>
    <row r="124" spans="1:12" ht="14.5" x14ac:dyDescent="0.35">
      <c r="A124" s="199"/>
      <c r="B124" s="545"/>
      <c r="C124" s="212"/>
      <c r="D124" s="99"/>
      <c r="E124" s="200"/>
      <c r="F124" s="201"/>
      <c r="G124" s="352"/>
      <c r="H124" s="386"/>
      <c r="I124" s="352"/>
      <c r="J124" s="228"/>
      <c r="K124" s="386"/>
      <c r="L124" s="223"/>
    </row>
    <row r="125" spans="1:12" ht="14.5" x14ac:dyDescent="0.35">
      <c r="A125" s="199"/>
      <c r="B125" s="545"/>
      <c r="C125" s="212"/>
      <c r="D125" s="99"/>
      <c r="E125" s="200"/>
      <c r="F125" s="201"/>
      <c r="G125" s="352"/>
      <c r="H125" s="386"/>
      <c r="I125" s="352"/>
      <c r="J125" s="228"/>
      <c r="K125" s="386"/>
      <c r="L125" s="223"/>
    </row>
    <row r="126" spans="1:12" ht="14.5" x14ac:dyDescent="0.35">
      <c r="A126" s="199"/>
      <c r="B126" s="545"/>
      <c r="C126" s="212"/>
      <c r="D126" s="99"/>
      <c r="E126" s="200"/>
      <c r="F126" s="201"/>
      <c r="G126" s="352"/>
      <c r="H126" s="386"/>
      <c r="I126" s="352"/>
      <c r="J126" s="228"/>
      <c r="K126" s="386"/>
      <c r="L126" s="223"/>
    </row>
    <row r="127" spans="1:12" ht="14.5" x14ac:dyDescent="0.35">
      <c r="A127" s="199"/>
      <c r="B127" s="545"/>
      <c r="C127" s="212"/>
      <c r="D127" s="99"/>
      <c r="E127" s="200"/>
      <c r="F127" s="201"/>
      <c r="G127" s="352"/>
      <c r="H127" s="386"/>
      <c r="I127" s="352"/>
      <c r="J127" s="228"/>
      <c r="K127" s="386"/>
      <c r="L127" s="223"/>
    </row>
    <row r="128" spans="1:12" ht="14.5" x14ac:dyDescent="0.35">
      <c r="A128" s="199"/>
      <c r="B128" s="545"/>
      <c r="C128" s="212"/>
      <c r="D128" s="99"/>
      <c r="E128" s="200"/>
      <c r="F128" s="201"/>
      <c r="G128" s="352"/>
      <c r="H128" s="386"/>
      <c r="I128" s="352"/>
      <c r="J128" s="228"/>
      <c r="K128" s="386"/>
      <c r="L128" s="223"/>
    </row>
    <row r="129" spans="1:12" ht="14.5" x14ac:dyDescent="0.35">
      <c r="A129" s="199"/>
      <c r="B129" s="545"/>
      <c r="C129" s="212"/>
      <c r="D129" s="99"/>
      <c r="E129" s="200"/>
      <c r="F129" s="201"/>
      <c r="G129" s="352"/>
      <c r="H129" s="386"/>
      <c r="I129" s="352"/>
      <c r="J129" s="228"/>
      <c r="K129" s="386"/>
      <c r="L129" s="223"/>
    </row>
    <row r="130" spans="1:12" ht="14.5" x14ac:dyDescent="0.35">
      <c r="A130" s="199"/>
      <c r="B130" s="545"/>
      <c r="C130" s="212"/>
      <c r="D130" s="99"/>
      <c r="E130" s="200"/>
      <c r="F130" s="201"/>
      <c r="G130" s="352"/>
      <c r="H130" s="386"/>
      <c r="I130" s="352"/>
      <c r="J130" s="228"/>
      <c r="K130" s="386"/>
      <c r="L130" s="223"/>
    </row>
    <row r="131" spans="1:12" ht="14.5" x14ac:dyDescent="0.35">
      <c r="A131" s="199"/>
      <c r="B131" s="545"/>
      <c r="C131" s="212"/>
      <c r="D131" s="99"/>
      <c r="E131" s="200"/>
      <c r="F131" s="201"/>
      <c r="G131" s="352"/>
      <c r="H131" s="386"/>
      <c r="I131" s="352"/>
      <c r="J131" s="228"/>
      <c r="K131" s="386"/>
      <c r="L131" s="223"/>
    </row>
    <row r="132" spans="1:12" ht="14.5" x14ac:dyDescent="0.35">
      <c r="A132" s="199"/>
      <c r="B132" s="545"/>
      <c r="C132" s="212"/>
      <c r="D132" s="213"/>
      <c r="E132" s="200"/>
      <c r="F132" s="201"/>
      <c r="G132" s="352"/>
      <c r="H132" s="386"/>
      <c r="I132" s="352"/>
      <c r="J132" s="228"/>
      <c r="K132" s="386"/>
      <c r="L132" s="223"/>
    </row>
    <row r="133" spans="1:12" ht="14.5" x14ac:dyDescent="0.35">
      <c r="A133" s="199"/>
      <c r="B133" s="545"/>
      <c r="C133" s="212"/>
      <c r="D133" s="213"/>
      <c r="E133" s="200"/>
      <c r="F133" s="201"/>
      <c r="G133" s="352"/>
      <c r="H133" s="386"/>
      <c r="I133" s="352"/>
      <c r="J133" s="228"/>
      <c r="K133" s="386"/>
      <c r="L133" s="223"/>
    </row>
    <row r="134" spans="1:12" ht="14.5" x14ac:dyDescent="0.35">
      <c r="A134" s="199"/>
      <c r="B134" s="545"/>
      <c r="C134" s="212"/>
      <c r="D134" s="226"/>
      <c r="E134" s="200"/>
      <c r="F134" s="201"/>
      <c r="G134" s="352"/>
      <c r="H134" s="386"/>
      <c r="I134" s="352"/>
      <c r="J134" s="228"/>
      <c r="K134" s="386"/>
      <c r="L134" s="223"/>
    </row>
    <row r="135" spans="1:12" ht="14.5" x14ac:dyDescent="0.35">
      <c r="A135" s="199"/>
      <c r="B135" s="546"/>
      <c r="C135" s="212"/>
      <c r="D135" s="213"/>
      <c r="E135" s="200"/>
      <c r="F135" s="201"/>
      <c r="G135" s="352"/>
      <c r="H135" s="386"/>
      <c r="I135" s="352"/>
      <c r="J135" s="228"/>
      <c r="K135" s="386"/>
      <c r="L135" s="223"/>
    </row>
    <row r="136" spans="1:12" ht="14.5" x14ac:dyDescent="0.35">
      <c r="A136" s="199"/>
      <c r="B136" s="546"/>
      <c r="C136" s="212"/>
      <c r="D136" s="213"/>
      <c r="E136" s="200"/>
      <c r="F136" s="201"/>
      <c r="G136" s="352"/>
      <c r="H136" s="386"/>
      <c r="I136" s="352"/>
      <c r="J136" s="228"/>
      <c r="K136" s="386"/>
      <c r="L136" s="223"/>
    </row>
    <row r="137" spans="1:12" ht="14.5" x14ac:dyDescent="0.35">
      <c r="A137" s="199"/>
      <c r="B137" s="546"/>
      <c r="C137" s="212"/>
      <c r="D137" s="226"/>
      <c r="E137" s="200"/>
      <c r="F137" s="201"/>
      <c r="G137" s="352"/>
      <c r="H137" s="386"/>
      <c r="I137" s="352"/>
      <c r="J137" s="228"/>
      <c r="K137" s="386"/>
      <c r="L137" s="223"/>
    </row>
    <row r="138" spans="1:12" ht="14.5" x14ac:dyDescent="0.35">
      <c r="A138" s="199"/>
      <c r="B138" s="546"/>
      <c r="C138" s="212"/>
      <c r="D138" s="226"/>
      <c r="E138" s="200"/>
      <c r="F138" s="201"/>
      <c r="G138" s="352"/>
      <c r="H138" s="386"/>
      <c r="I138" s="352"/>
      <c r="J138" s="228"/>
      <c r="K138" s="386"/>
      <c r="L138" s="223"/>
    </row>
    <row r="139" spans="1:12" ht="14.5" x14ac:dyDescent="0.35">
      <c r="A139" s="199"/>
      <c r="B139" s="546"/>
      <c r="C139" s="212"/>
      <c r="D139" s="226"/>
      <c r="E139" s="200"/>
      <c r="F139" s="201"/>
      <c r="G139" s="352"/>
      <c r="H139" s="386"/>
      <c r="I139" s="352"/>
      <c r="J139" s="228"/>
      <c r="K139" s="386"/>
      <c r="L139" s="223"/>
    </row>
    <row r="140" spans="1:12" ht="14.5" x14ac:dyDescent="0.35">
      <c r="A140" s="199"/>
      <c r="B140" s="545"/>
      <c r="C140" s="212"/>
      <c r="D140" s="226"/>
      <c r="E140" s="200"/>
      <c r="F140" s="201"/>
      <c r="G140" s="352"/>
      <c r="H140" s="386"/>
      <c r="I140" s="352"/>
      <c r="J140" s="228"/>
      <c r="K140" s="386"/>
      <c r="L140" s="223"/>
    </row>
    <row r="141" spans="1:12" ht="14.5" x14ac:dyDescent="0.35">
      <c r="A141" s="199"/>
      <c r="B141" s="545"/>
      <c r="C141" s="212"/>
      <c r="D141" s="226"/>
      <c r="E141" s="200"/>
      <c r="F141" s="201"/>
      <c r="G141" s="352"/>
      <c r="H141" s="386"/>
      <c r="I141" s="352"/>
      <c r="J141" s="228"/>
      <c r="K141" s="386"/>
      <c r="L141" s="223"/>
    </row>
    <row r="142" spans="1:12" ht="14.5" x14ac:dyDescent="0.35">
      <c r="A142" s="199"/>
      <c r="B142" s="545"/>
      <c r="C142" s="212"/>
      <c r="D142" s="226"/>
      <c r="E142" s="200"/>
      <c r="F142" s="201"/>
      <c r="G142" s="352"/>
      <c r="H142" s="386"/>
      <c r="I142" s="352"/>
      <c r="J142" s="228"/>
      <c r="K142" s="386"/>
      <c r="L142" s="223"/>
    </row>
    <row r="143" spans="1:12" ht="14.5" x14ac:dyDescent="0.35">
      <c r="A143" s="199"/>
      <c r="B143" s="545"/>
      <c r="C143" s="212"/>
      <c r="D143" s="226"/>
      <c r="E143" s="200"/>
      <c r="F143" s="201"/>
      <c r="G143" s="352"/>
      <c r="H143" s="386"/>
      <c r="I143" s="352"/>
      <c r="J143" s="228"/>
      <c r="K143" s="386"/>
      <c r="L143" s="223"/>
    </row>
    <row r="144" spans="1:12" ht="14.5" x14ac:dyDescent="0.35">
      <c r="A144" s="199"/>
      <c r="B144" s="545"/>
      <c r="C144" s="212"/>
      <c r="D144" s="99"/>
      <c r="E144" s="200"/>
      <c r="F144" s="201"/>
      <c r="G144" s="352"/>
      <c r="H144" s="386"/>
      <c r="I144" s="352"/>
      <c r="J144" s="228"/>
      <c r="K144" s="386"/>
      <c r="L144" s="223"/>
    </row>
    <row r="145" spans="1:15" ht="14.5" x14ac:dyDescent="0.35">
      <c r="A145" s="199"/>
      <c r="B145" s="545"/>
      <c r="C145" s="212"/>
      <c r="D145" s="226"/>
      <c r="E145" s="200"/>
      <c r="F145" s="201"/>
      <c r="G145" s="352"/>
      <c r="H145" s="386"/>
      <c r="I145" s="352"/>
      <c r="J145" s="228"/>
      <c r="K145" s="386"/>
      <c r="L145" s="223"/>
    </row>
    <row r="146" spans="1:15" ht="14.5" x14ac:dyDescent="0.35">
      <c r="A146" s="199"/>
      <c r="B146" s="545"/>
      <c r="C146" s="212"/>
      <c r="D146" s="213"/>
      <c r="E146" s="200"/>
      <c r="F146" s="201"/>
      <c r="G146" s="352"/>
      <c r="H146" s="386"/>
      <c r="I146" s="352"/>
      <c r="J146" s="228"/>
      <c r="K146" s="386"/>
      <c r="L146" s="223"/>
    </row>
    <row r="147" spans="1:15" ht="14.5" x14ac:dyDescent="0.35">
      <c r="A147" s="199"/>
      <c r="B147" s="545"/>
      <c r="C147" s="212"/>
      <c r="D147" s="213"/>
      <c r="E147" s="200"/>
      <c r="F147" s="201"/>
      <c r="G147" s="352"/>
      <c r="H147" s="386"/>
      <c r="I147" s="352"/>
      <c r="J147" s="228"/>
      <c r="K147" s="386"/>
      <c r="L147" s="223"/>
    </row>
    <row r="148" spans="1:15" ht="14.5" x14ac:dyDescent="0.35">
      <c r="A148" s="199"/>
      <c r="B148" s="545"/>
      <c r="C148" s="212"/>
      <c r="D148" s="99"/>
      <c r="E148" s="200"/>
      <c r="F148" s="201"/>
      <c r="G148" s="352"/>
      <c r="H148" s="386"/>
      <c r="I148" s="352"/>
      <c r="J148" s="228"/>
      <c r="K148" s="386"/>
      <c r="L148" s="223"/>
    </row>
    <row r="149" spans="1:15" ht="14.5" x14ac:dyDescent="0.35">
      <c r="A149" s="199"/>
      <c r="B149" s="545"/>
      <c r="C149" s="212"/>
      <c r="D149" s="226"/>
      <c r="E149" s="200"/>
      <c r="F149" s="201"/>
      <c r="G149" s="352"/>
      <c r="H149" s="386"/>
      <c r="I149" s="352"/>
      <c r="J149" s="228"/>
      <c r="K149" s="386"/>
      <c r="L149" s="223"/>
    </row>
    <row r="150" spans="1:15" ht="14.5" x14ac:dyDescent="0.35">
      <c r="A150" s="199"/>
      <c r="B150" s="545"/>
      <c r="C150" s="212"/>
      <c r="D150" s="226"/>
      <c r="E150" s="200"/>
      <c r="F150" s="201"/>
      <c r="G150" s="352"/>
      <c r="H150" s="386"/>
      <c r="I150" s="352"/>
      <c r="J150" s="228"/>
      <c r="K150" s="386"/>
      <c r="L150" s="223"/>
    </row>
    <row r="151" spans="1:15" x14ac:dyDescent="0.35">
      <c r="A151" s="559" t="s">
        <v>260</v>
      </c>
      <c r="B151" s="563"/>
      <c r="C151" s="563"/>
      <c r="D151" s="564"/>
      <c r="E151" s="563"/>
      <c r="F151" s="563"/>
      <c r="G151" s="562"/>
      <c r="H151" s="568" t="s">
        <v>92</v>
      </c>
      <c r="I151" s="563"/>
      <c r="J151" s="563"/>
      <c r="K151" s="568"/>
      <c r="L151" s="562"/>
    </row>
    <row r="152" spans="1:15" s="113" customFormat="1" ht="14.5" customHeight="1" x14ac:dyDescent="0.35">
      <c r="A152" s="210" t="s">
        <v>511</v>
      </c>
      <c r="B152" s="211"/>
      <c r="C152" s="231"/>
      <c r="D152" s="232"/>
      <c r="E152" s="206"/>
      <c r="F152" s="206"/>
      <c r="G152" s="207"/>
      <c r="H152" s="571" t="e">
        <f>SUM(K14:K150)</f>
        <v>#NUM!</v>
      </c>
      <c r="I152" s="572"/>
      <c r="J152" s="572"/>
      <c r="K152" s="572"/>
      <c r="L152" s="573"/>
    </row>
    <row r="153" spans="1:15" x14ac:dyDescent="0.35">
      <c r="A153" s="574" t="s">
        <v>93</v>
      </c>
      <c r="B153" s="575"/>
      <c r="C153" s="233" t="s">
        <v>94</v>
      </c>
      <c r="D153" s="559" t="s">
        <v>95</v>
      </c>
      <c r="E153" s="562"/>
      <c r="F153" s="574" t="s">
        <v>96</v>
      </c>
      <c r="G153" s="575"/>
      <c r="H153" s="576" t="s">
        <v>97</v>
      </c>
      <c r="I153" s="561"/>
      <c r="J153" s="561"/>
      <c r="K153" s="577"/>
      <c r="L153" s="558"/>
    </row>
    <row r="154" spans="1:15" ht="14.5" customHeight="1" x14ac:dyDescent="0.35">
      <c r="A154" s="589" t="s">
        <v>513</v>
      </c>
      <c r="B154" s="590"/>
      <c r="C154" s="593" t="s">
        <v>512</v>
      </c>
      <c r="D154" s="595" t="e">
        <f>H152</f>
        <v>#NUM!</v>
      </c>
      <c r="E154" s="596"/>
      <c r="F154" s="600">
        <f>IF(C154="022",22%,0)</f>
        <v>0</v>
      </c>
      <c r="G154" s="601"/>
      <c r="H154" s="580" t="e">
        <f>H152</f>
        <v>#NUM!</v>
      </c>
      <c r="I154" s="572"/>
      <c r="J154" s="572"/>
      <c r="K154" s="572"/>
      <c r="L154" s="573"/>
    </row>
    <row r="155" spans="1:15" x14ac:dyDescent="0.35">
      <c r="A155" s="589"/>
      <c r="B155" s="590"/>
      <c r="C155" s="593"/>
      <c r="D155" s="597"/>
      <c r="E155" s="596"/>
      <c r="F155" s="600"/>
      <c r="G155" s="601"/>
      <c r="H155" s="576" t="s">
        <v>98</v>
      </c>
      <c r="I155" s="561"/>
      <c r="J155" s="561"/>
      <c r="K155" s="577"/>
      <c r="L155" s="558"/>
    </row>
    <row r="156" spans="1:15" ht="14.5" customHeight="1" x14ac:dyDescent="0.35">
      <c r="A156" s="589"/>
      <c r="B156" s="590"/>
      <c r="C156" s="593"/>
      <c r="D156" s="597"/>
      <c r="E156" s="596"/>
      <c r="F156" s="600"/>
      <c r="G156" s="601"/>
      <c r="H156" s="580">
        <f>SEK154*F154</f>
        <v>0</v>
      </c>
      <c r="I156" s="572"/>
      <c r="J156" s="572"/>
      <c r="K156" s="572"/>
      <c r="L156" s="573"/>
    </row>
    <row r="157" spans="1:15" x14ac:dyDescent="0.35">
      <c r="A157" s="589"/>
      <c r="B157" s="590"/>
      <c r="C157" s="593"/>
      <c r="D157" s="597"/>
      <c r="E157" s="596"/>
      <c r="F157" s="600"/>
      <c r="G157" s="601"/>
      <c r="H157" s="576" t="s">
        <v>99</v>
      </c>
      <c r="I157" s="561"/>
      <c r="J157" s="561"/>
      <c r="K157" s="577"/>
      <c r="L157" s="558"/>
    </row>
    <row r="158" spans="1:15" ht="14.5" customHeight="1" x14ac:dyDescent="0.35">
      <c r="A158" s="591"/>
      <c r="B158" s="592"/>
      <c r="C158" s="594"/>
      <c r="D158" s="598"/>
      <c r="E158" s="599"/>
      <c r="F158" s="602"/>
      <c r="G158" s="603"/>
      <c r="H158" s="580" t="e">
        <f>H152+H156</f>
        <v>#NUM!</v>
      </c>
      <c r="I158" s="572"/>
      <c r="J158" s="572"/>
      <c r="K158" s="572"/>
      <c r="L158" s="573"/>
    </row>
    <row r="159" spans="1:15" x14ac:dyDescent="0.35">
      <c r="A159" s="581" t="s">
        <v>100</v>
      </c>
      <c r="B159" s="582"/>
      <c r="C159" s="582"/>
      <c r="D159" s="582"/>
      <c r="E159" s="582"/>
      <c r="F159" s="582"/>
      <c r="G159" s="582"/>
      <c r="H159" s="583"/>
      <c r="I159" s="582"/>
      <c r="J159" s="582"/>
      <c r="K159" s="583"/>
      <c r="L159" s="584"/>
    </row>
    <row r="160" spans="1:15" s="114" customFormat="1" ht="10.5" customHeight="1" x14ac:dyDescent="0.35">
      <c r="A160" s="585" t="s">
        <v>101</v>
      </c>
      <c r="B160" s="586"/>
      <c r="C160" s="586"/>
      <c r="D160" s="586"/>
      <c r="E160" s="586"/>
      <c r="F160" s="586"/>
      <c r="G160" s="586"/>
      <c r="H160" s="587"/>
      <c r="I160" s="586"/>
      <c r="J160" s="586"/>
      <c r="K160" s="587"/>
      <c r="L160" s="588"/>
      <c r="N160" s="101"/>
      <c r="O160" s="101"/>
    </row>
    <row r="161" spans="1:15" s="115" customFormat="1" ht="7.5" customHeight="1" x14ac:dyDescent="0.35">
      <c r="A161" s="581" t="s">
        <v>102</v>
      </c>
      <c r="B161" s="604" t="s">
        <v>103</v>
      </c>
      <c r="C161" s="604"/>
      <c r="D161" s="604"/>
      <c r="E161" s="604"/>
      <c r="F161" s="582"/>
      <c r="G161" s="582"/>
      <c r="H161" s="582"/>
      <c r="I161" s="582"/>
      <c r="J161" s="582"/>
      <c r="K161" s="582"/>
      <c r="L161" s="584"/>
      <c r="N161" s="101"/>
      <c r="O161" s="101"/>
    </row>
    <row r="162" spans="1:15" ht="14.5" customHeight="1" x14ac:dyDescent="0.35">
      <c r="A162" s="585"/>
      <c r="B162" s="605"/>
      <c r="C162" s="605"/>
      <c r="D162" s="605"/>
      <c r="E162" s="605"/>
      <c r="F162" s="586"/>
      <c r="G162" s="586"/>
      <c r="H162" s="586"/>
      <c r="I162" s="586"/>
      <c r="J162" s="586"/>
      <c r="K162" s="586"/>
      <c r="L162" s="588"/>
    </row>
    <row r="163" spans="1:15" s="115" customFormat="1" ht="10" x14ac:dyDescent="0.35">
      <c r="A163" s="569" t="s">
        <v>104</v>
      </c>
      <c r="B163" s="569"/>
      <c r="C163" s="569"/>
      <c r="D163" s="569"/>
      <c r="E163" s="569"/>
      <c r="F163" s="569"/>
      <c r="G163" s="569"/>
      <c r="H163" s="570"/>
      <c r="I163" s="569"/>
      <c r="J163" s="569"/>
      <c r="K163" s="570"/>
      <c r="L163" s="569"/>
    </row>
    <row r="164" spans="1:15" x14ac:dyDescent="0.35">
      <c r="A164" s="569" t="s">
        <v>105</v>
      </c>
      <c r="B164" s="569"/>
      <c r="C164" s="569"/>
      <c r="D164" s="569"/>
      <c r="E164" s="569"/>
      <c r="F164" s="569"/>
      <c r="G164" s="569"/>
      <c r="H164" s="570"/>
      <c r="I164" s="569"/>
      <c r="J164" s="569"/>
      <c r="K164" s="570"/>
      <c r="L164" s="569"/>
    </row>
    <row r="165" spans="1:15" x14ac:dyDescent="0.35">
      <c r="A165" s="569" t="s">
        <v>106</v>
      </c>
      <c r="B165" s="578"/>
      <c r="C165" s="578"/>
      <c r="D165" s="578"/>
      <c r="E165" s="578"/>
      <c r="F165" s="578"/>
      <c r="G165" s="578"/>
      <c r="H165" s="579"/>
      <c r="I165" s="578"/>
      <c r="J165" s="578"/>
      <c r="K165" s="579"/>
      <c r="L165" s="578"/>
    </row>
    <row r="166" spans="1:15" x14ac:dyDescent="0.35">
      <c r="H166" s="118"/>
      <c r="K166" s="118"/>
    </row>
    <row r="167" spans="1:15" x14ac:dyDescent="0.35">
      <c r="H167" s="118"/>
      <c r="K167" s="118"/>
    </row>
    <row r="168" spans="1:15" x14ac:dyDescent="0.35">
      <c r="H168" s="118"/>
      <c r="K168" s="118"/>
    </row>
    <row r="169" spans="1:15" x14ac:dyDescent="0.35">
      <c r="H169" s="118"/>
      <c r="K169" s="118"/>
    </row>
    <row r="170" spans="1:15" x14ac:dyDescent="0.35">
      <c r="H170" s="118"/>
      <c r="K170" s="118"/>
    </row>
    <row r="171" spans="1:15" x14ac:dyDescent="0.35">
      <c r="H171" s="118"/>
      <c r="K171" s="118"/>
    </row>
    <row r="172" spans="1:15" x14ac:dyDescent="0.35">
      <c r="H172" s="118"/>
      <c r="K172" s="118"/>
    </row>
    <row r="173" spans="1:15" x14ac:dyDescent="0.35">
      <c r="H173" s="118"/>
      <c r="K173" s="118"/>
    </row>
    <row r="174" spans="1:15" x14ac:dyDescent="0.35">
      <c r="H174" s="118"/>
      <c r="K174" s="118"/>
    </row>
    <row r="175" spans="1:15" x14ac:dyDescent="0.35">
      <c r="H175" s="118"/>
      <c r="K175" s="118"/>
    </row>
    <row r="176" spans="1:15" x14ac:dyDescent="0.35">
      <c r="H176" s="118"/>
      <c r="K176" s="118"/>
    </row>
    <row r="177" spans="8:11" x14ac:dyDescent="0.35">
      <c r="H177" s="118"/>
      <c r="K177" s="118"/>
    </row>
    <row r="178" spans="8:11" x14ac:dyDescent="0.35">
      <c r="H178" s="118"/>
      <c r="K178" s="118"/>
    </row>
    <row r="179" spans="8:11" x14ac:dyDescent="0.35">
      <c r="H179" s="118"/>
      <c r="K179" s="118"/>
    </row>
    <row r="180" spans="8:11" x14ac:dyDescent="0.35">
      <c r="H180" s="118"/>
      <c r="K180" s="118"/>
    </row>
    <row r="181" spans="8:11" x14ac:dyDescent="0.35">
      <c r="H181" s="118"/>
      <c r="K181" s="118"/>
    </row>
    <row r="182" spans="8:11" x14ac:dyDescent="0.35">
      <c r="H182" s="118"/>
      <c r="K182" s="118"/>
    </row>
    <row r="183" spans="8:11" x14ac:dyDescent="0.35">
      <c r="H183" s="118"/>
      <c r="K183" s="118"/>
    </row>
    <row r="184" spans="8:11" x14ac:dyDescent="0.35">
      <c r="H184" s="118"/>
      <c r="K184" s="118"/>
    </row>
    <row r="185" spans="8:11" x14ac:dyDescent="0.35">
      <c r="H185" s="118"/>
      <c r="K185" s="118"/>
    </row>
    <row r="186" spans="8:11" x14ac:dyDescent="0.35">
      <c r="H186" s="118"/>
      <c r="K186" s="118"/>
    </row>
    <row r="187" spans="8:11" x14ac:dyDescent="0.35">
      <c r="H187" s="118"/>
      <c r="K187" s="118"/>
    </row>
    <row r="188" spans="8:11" x14ac:dyDescent="0.35">
      <c r="H188" s="118"/>
      <c r="K188" s="118"/>
    </row>
    <row r="189" spans="8:11" x14ac:dyDescent="0.35">
      <c r="H189" s="118"/>
      <c r="K189" s="118"/>
    </row>
    <row r="190" spans="8:11" x14ac:dyDescent="0.35">
      <c r="H190" s="118"/>
      <c r="K190" s="118"/>
    </row>
    <row r="191" spans="8:11" x14ac:dyDescent="0.35">
      <c r="H191" s="118"/>
      <c r="K191" s="118"/>
    </row>
    <row r="192" spans="8:11" x14ac:dyDescent="0.35">
      <c r="H192" s="118"/>
      <c r="K192" s="118"/>
    </row>
    <row r="193" spans="8:11" x14ac:dyDescent="0.35">
      <c r="H193" s="118"/>
      <c r="K193" s="118"/>
    </row>
    <row r="194" spans="8:11" x14ac:dyDescent="0.35">
      <c r="H194" s="118"/>
      <c r="K194" s="118"/>
    </row>
    <row r="195" spans="8:11" x14ac:dyDescent="0.35">
      <c r="H195" s="118"/>
      <c r="K195" s="118"/>
    </row>
    <row r="196" spans="8:11" x14ac:dyDescent="0.35">
      <c r="H196" s="118"/>
      <c r="K196" s="118"/>
    </row>
    <row r="197" spans="8:11" x14ac:dyDescent="0.35">
      <c r="H197" s="118"/>
      <c r="K197" s="118"/>
    </row>
    <row r="198" spans="8:11" x14ac:dyDescent="0.35">
      <c r="H198" s="118"/>
      <c r="K198" s="118"/>
    </row>
    <row r="199" spans="8:11" x14ac:dyDescent="0.35">
      <c r="H199" s="118"/>
      <c r="K199" s="118"/>
    </row>
    <row r="200" spans="8:11" x14ac:dyDescent="0.35">
      <c r="H200" s="118"/>
      <c r="K200" s="118"/>
    </row>
    <row r="201" spans="8:11" x14ac:dyDescent="0.35">
      <c r="H201" s="118"/>
      <c r="K201" s="118"/>
    </row>
    <row r="202" spans="8:11" x14ac:dyDescent="0.35">
      <c r="H202" s="118"/>
      <c r="K202" s="118"/>
    </row>
    <row r="203" spans="8:11" x14ac:dyDescent="0.35">
      <c r="H203" s="118"/>
      <c r="K203" s="118"/>
    </row>
    <row r="204" spans="8:11" x14ac:dyDescent="0.35">
      <c r="H204" s="118"/>
      <c r="K204" s="118"/>
    </row>
    <row r="205" spans="8:11" x14ac:dyDescent="0.35">
      <c r="H205" s="118"/>
      <c r="K205" s="118"/>
    </row>
    <row r="206" spans="8:11" x14ac:dyDescent="0.35">
      <c r="H206" s="118"/>
      <c r="K206" s="118"/>
    </row>
    <row r="207" spans="8:11" x14ac:dyDescent="0.35">
      <c r="H207" s="118"/>
      <c r="K207" s="118"/>
    </row>
    <row r="208" spans="8:11" x14ac:dyDescent="0.35">
      <c r="H208" s="118"/>
      <c r="K208" s="118"/>
    </row>
    <row r="209" spans="8:11" x14ac:dyDescent="0.35">
      <c r="H209" s="118"/>
      <c r="K209" s="118"/>
    </row>
    <row r="210" spans="8:11" x14ac:dyDescent="0.35">
      <c r="H210" s="118"/>
      <c r="K210" s="118"/>
    </row>
    <row r="211" spans="8:11" x14ac:dyDescent="0.35">
      <c r="H211" s="118"/>
      <c r="K211" s="118"/>
    </row>
    <row r="212" spans="8:11" x14ac:dyDescent="0.35">
      <c r="H212" s="118"/>
      <c r="K212" s="118"/>
    </row>
    <row r="213" spans="8:11" x14ac:dyDescent="0.35">
      <c r="H213" s="118"/>
      <c r="K213" s="118"/>
    </row>
    <row r="214" spans="8:11" x14ac:dyDescent="0.35">
      <c r="H214" s="118"/>
      <c r="K214" s="118"/>
    </row>
    <row r="215" spans="8:11" x14ac:dyDescent="0.35">
      <c r="H215" s="118"/>
      <c r="K215" s="118"/>
    </row>
    <row r="216" spans="8:11" x14ac:dyDescent="0.35">
      <c r="H216" s="118"/>
      <c r="K216" s="118"/>
    </row>
    <row r="217" spans="8:11" x14ac:dyDescent="0.35">
      <c r="H217" s="118"/>
      <c r="K217" s="118"/>
    </row>
    <row r="218" spans="8:11" x14ac:dyDescent="0.35">
      <c r="H218" s="118"/>
      <c r="K218" s="118"/>
    </row>
    <row r="219" spans="8:11" x14ac:dyDescent="0.35">
      <c r="H219" s="118"/>
      <c r="K219" s="118"/>
    </row>
    <row r="220" spans="8:11" x14ac:dyDescent="0.35">
      <c r="H220" s="118"/>
      <c r="K220" s="118"/>
    </row>
    <row r="221" spans="8:11" x14ac:dyDescent="0.35">
      <c r="H221" s="118"/>
      <c r="K221" s="118"/>
    </row>
    <row r="222" spans="8:11" x14ac:dyDescent="0.35">
      <c r="H222" s="118"/>
      <c r="K222" s="118"/>
    </row>
    <row r="223" spans="8:11" x14ac:dyDescent="0.35">
      <c r="H223" s="118"/>
      <c r="K223" s="118"/>
    </row>
    <row r="224" spans="8:11" x14ac:dyDescent="0.35">
      <c r="H224" s="118"/>
      <c r="K224" s="118"/>
    </row>
    <row r="225" spans="8:11" x14ac:dyDescent="0.35">
      <c r="H225" s="118"/>
      <c r="K225" s="118"/>
    </row>
    <row r="226" spans="8:11" x14ac:dyDescent="0.35">
      <c r="H226" s="118"/>
      <c r="K226" s="118"/>
    </row>
    <row r="227" spans="8:11" x14ac:dyDescent="0.35">
      <c r="H227" s="118"/>
      <c r="K227" s="118"/>
    </row>
    <row r="228" spans="8:11" x14ac:dyDescent="0.35">
      <c r="H228" s="118"/>
      <c r="K228" s="118"/>
    </row>
    <row r="229" spans="8:11" x14ac:dyDescent="0.35">
      <c r="H229" s="118"/>
      <c r="K229" s="118"/>
    </row>
    <row r="230" spans="8:11" x14ac:dyDescent="0.35">
      <c r="H230" s="118"/>
      <c r="K230" s="118"/>
    </row>
    <row r="231" spans="8:11" x14ac:dyDescent="0.35">
      <c r="H231" s="118"/>
      <c r="K231" s="118"/>
    </row>
    <row r="232" spans="8:11" x14ac:dyDescent="0.35">
      <c r="H232" s="118"/>
      <c r="K232" s="118"/>
    </row>
    <row r="233" spans="8:11" x14ac:dyDescent="0.35">
      <c r="H233" s="118"/>
      <c r="K233" s="118"/>
    </row>
    <row r="234" spans="8:11" x14ac:dyDescent="0.35">
      <c r="H234" s="118"/>
      <c r="K234" s="118"/>
    </row>
    <row r="235" spans="8:11" x14ac:dyDescent="0.35">
      <c r="H235" s="118"/>
      <c r="K235" s="118"/>
    </row>
    <row r="236" spans="8:11" x14ac:dyDescent="0.35">
      <c r="H236" s="118"/>
      <c r="K236" s="118"/>
    </row>
    <row r="237" spans="8:11" x14ac:dyDescent="0.35">
      <c r="H237" s="118"/>
      <c r="K237" s="118"/>
    </row>
    <row r="238" spans="8:11" x14ac:dyDescent="0.35">
      <c r="H238" s="118"/>
      <c r="K238" s="118"/>
    </row>
    <row r="239" spans="8:11" x14ac:dyDescent="0.35">
      <c r="H239" s="118"/>
      <c r="K239" s="118"/>
    </row>
    <row r="240" spans="8:11" x14ac:dyDescent="0.35">
      <c r="H240" s="118"/>
      <c r="K240" s="118"/>
    </row>
    <row r="241" spans="8:11" x14ac:dyDescent="0.35">
      <c r="H241" s="118"/>
      <c r="K241" s="118"/>
    </row>
    <row r="242" spans="8:11" x14ac:dyDescent="0.35">
      <c r="H242" s="118"/>
      <c r="K242" s="118"/>
    </row>
    <row r="243" spans="8:11" x14ac:dyDescent="0.35">
      <c r="H243" s="118"/>
      <c r="K243" s="118"/>
    </row>
    <row r="244" spans="8:11" x14ac:dyDescent="0.35">
      <c r="H244" s="118"/>
      <c r="K244" s="118"/>
    </row>
    <row r="245" spans="8:11" x14ac:dyDescent="0.35">
      <c r="H245" s="118"/>
      <c r="K245" s="118"/>
    </row>
    <row r="246" spans="8:11" x14ac:dyDescent="0.35">
      <c r="H246" s="118"/>
      <c r="K246" s="118"/>
    </row>
    <row r="247" spans="8:11" x14ac:dyDescent="0.35">
      <c r="H247" s="118"/>
      <c r="K247" s="118"/>
    </row>
    <row r="248" spans="8:11" x14ac:dyDescent="0.35">
      <c r="H248" s="118"/>
      <c r="K248" s="118"/>
    </row>
    <row r="249" spans="8:11" x14ac:dyDescent="0.35">
      <c r="H249" s="118"/>
      <c r="K249" s="118"/>
    </row>
    <row r="250" spans="8:11" x14ac:dyDescent="0.35">
      <c r="H250" s="118"/>
      <c r="K250" s="118"/>
    </row>
    <row r="251" spans="8:11" x14ac:dyDescent="0.35">
      <c r="H251" s="118"/>
      <c r="K251" s="118"/>
    </row>
    <row r="252" spans="8:11" x14ac:dyDescent="0.35">
      <c r="H252" s="118"/>
      <c r="K252" s="118"/>
    </row>
    <row r="253" spans="8:11" x14ac:dyDescent="0.35">
      <c r="H253" s="118"/>
      <c r="K253" s="118"/>
    </row>
    <row r="254" spans="8:11" x14ac:dyDescent="0.35">
      <c r="H254" s="118"/>
      <c r="K254" s="118"/>
    </row>
    <row r="255" spans="8:11" x14ac:dyDescent="0.35">
      <c r="H255" s="118"/>
      <c r="K255" s="118"/>
    </row>
    <row r="256" spans="8:11" x14ac:dyDescent="0.35">
      <c r="H256" s="118"/>
      <c r="K256" s="118"/>
    </row>
    <row r="257" spans="8:11" x14ac:dyDescent="0.35">
      <c r="H257" s="118"/>
      <c r="K257" s="118"/>
    </row>
    <row r="258" spans="8:11" x14ac:dyDescent="0.35">
      <c r="H258" s="118"/>
      <c r="K258" s="118"/>
    </row>
    <row r="259" spans="8:11" x14ac:dyDescent="0.35">
      <c r="H259" s="118"/>
      <c r="K259" s="118"/>
    </row>
    <row r="260" spans="8:11" x14ac:dyDescent="0.35">
      <c r="H260" s="118"/>
      <c r="K260" s="118"/>
    </row>
    <row r="261" spans="8:11" x14ac:dyDescent="0.35">
      <c r="H261" s="118"/>
      <c r="K261" s="118"/>
    </row>
    <row r="262" spans="8:11" x14ac:dyDescent="0.35">
      <c r="H262" s="118"/>
      <c r="K262" s="118"/>
    </row>
    <row r="263" spans="8:11" x14ac:dyDescent="0.35">
      <c r="H263" s="118"/>
      <c r="K263" s="118"/>
    </row>
    <row r="264" spans="8:11" x14ac:dyDescent="0.35">
      <c r="H264" s="118"/>
      <c r="K264" s="118"/>
    </row>
    <row r="265" spans="8:11" x14ac:dyDescent="0.35">
      <c r="H265" s="118"/>
      <c r="K265" s="118"/>
    </row>
    <row r="266" spans="8:11" x14ac:dyDescent="0.35">
      <c r="H266" s="118"/>
      <c r="K266" s="118"/>
    </row>
    <row r="267" spans="8:11" x14ac:dyDescent="0.35">
      <c r="H267" s="118"/>
      <c r="K267" s="118"/>
    </row>
    <row r="268" spans="8:11" x14ac:dyDescent="0.35">
      <c r="H268" s="118"/>
      <c r="K268" s="118"/>
    </row>
    <row r="269" spans="8:11" x14ac:dyDescent="0.35">
      <c r="H269" s="118"/>
      <c r="K269" s="118"/>
    </row>
    <row r="270" spans="8:11" x14ac:dyDescent="0.35">
      <c r="H270" s="118"/>
      <c r="K270" s="118"/>
    </row>
    <row r="271" spans="8:11" x14ac:dyDescent="0.35">
      <c r="H271" s="118"/>
      <c r="K271" s="118"/>
    </row>
    <row r="272" spans="8:11" x14ac:dyDescent="0.35">
      <c r="H272" s="118"/>
      <c r="K272" s="118"/>
    </row>
    <row r="273" spans="8:11" x14ac:dyDescent="0.35">
      <c r="H273" s="118"/>
      <c r="K273" s="118"/>
    </row>
    <row r="274" spans="8:11" x14ac:dyDescent="0.35">
      <c r="H274" s="118"/>
      <c r="K274" s="118"/>
    </row>
    <row r="275" spans="8:11" x14ac:dyDescent="0.35">
      <c r="H275" s="118"/>
      <c r="K275" s="118"/>
    </row>
    <row r="276" spans="8:11" x14ac:dyDescent="0.35">
      <c r="H276" s="118"/>
      <c r="K276" s="118"/>
    </row>
    <row r="277" spans="8:11" x14ac:dyDescent="0.35">
      <c r="H277" s="118"/>
      <c r="K277" s="118"/>
    </row>
    <row r="278" spans="8:11" x14ac:dyDescent="0.35">
      <c r="H278" s="118"/>
      <c r="K278" s="118"/>
    </row>
    <row r="279" spans="8:11" x14ac:dyDescent="0.35">
      <c r="H279" s="118"/>
      <c r="K279" s="118"/>
    </row>
    <row r="280" spans="8:11" x14ac:dyDescent="0.35">
      <c r="H280" s="118"/>
      <c r="K280" s="118"/>
    </row>
    <row r="281" spans="8:11" x14ac:dyDescent="0.35">
      <c r="H281" s="118"/>
      <c r="K281" s="118"/>
    </row>
    <row r="282" spans="8:11" x14ac:dyDescent="0.35">
      <c r="H282" s="118"/>
      <c r="K282" s="118"/>
    </row>
    <row r="283" spans="8:11" x14ac:dyDescent="0.35">
      <c r="H283" s="118"/>
      <c r="K283" s="118"/>
    </row>
    <row r="284" spans="8:11" x14ac:dyDescent="0.35">
      <c r="H284" s="118"/>
      <c r="K284" s="118"/>
    </row>
    <row r="285" spans="8:11" x14ac:dyDescent="0.35">
      <c r="H285" s="118"/>
      <c r="K285" s="118"/>
    </row>
    <row r="286" spans="8:11" x14ac:dyDescent="0.35">
      <c r="H286" s="118"/>
      <c r="K286" s="118"/>
    </row>
    <row r="287" spans="8:11" x14ac:dyDescent="0.35">
      <c r="H287" s="118"/>
      <c r="K287" s="118"/>
    </row>
    <row r="288" spans="8:11" x14ac:dyDescent="0.35">
      <c r="H288" s="118"/>
      <c r="K288" s="118"/>
    </row>
    <row r="289" spans="8:11" x14ac:dyDescent="0.35">
      <c r="H289" s="118"/>
      <c r="K289" s="118"/>
    </row>
    <row r="290" spans="8:11" x14ac:dyDescent="0.35">
      <c r="H290" s="118"/>
      <c r="K290" s="118"/>
    </row>
    <row r="291" spans="8:11" x14ac:dyDescent="0.35">
      <c r="H291" s="118"/>
      <c r="K291" s="118"/>
    </row>
    <row r="292" spans="8:11" x14ac:dyDescent="0.35">
      <c r="H292" s="118"/>
      <c r="K292" s="118"/>
    </row>
    <row r="293" spans="8:11" x14ac:dyDescent="0.35">
      <c r="H293" s="118"/>
      <c r="K293" s="118"/>
    </row>
    <row r="294" spans="8:11" x14ac:dyDescent="0.35">
      <c r="H294" s="118"/>
      <c r="K294" s="118"/>
    </row>
    <row r="295" spans="8:11" x14ac:dyDescent="0.35">
      <c r="H295" s="118"/>
      <c r="K295" s="118"/>
    </row>
    <row r="296" spans="8:11" x14ac:dyDescent="0.35">
      <c r="H296" s="118"/>
      <c r="K296" s="118"/>
    </row>
    <row r="297" spans="8:11" x14ac:dyDescent="0.35">
      <c r="H297" s="118"/>
      <c r="K297" s="118"/>
    </row>
    <row r="298" spans="8:11" x14ac:dyDescent="0.35">
      <c r="H298" s="118"/>
      <c r="K298" s="118"/>
    </row>
    <row r="299" spans="8:11" x14ac:dyDescent="0.35">
      <c r="H299" s="118"/>
      <c r="K299" s="118"/>
    </row>
    <row r="300" spans="8:11" x14ac:dyDescent="0.35">
      <c r="H300" s="118"/>
      <c r="K300" s="118"/>
    </row>
    <row r="301" spans="8:11" x14ac:dyDescent="0.35">
      <c r="H301" s="118"/>
      <c r="K301" s="118"/>
    </row>
    <row r="302" spans="8:11" x14ac:dyDescent="0.35">
      <c r="H302" s="118"/>
      <c r="K302" s="118"/>
    </row>
    <row r="303" spans="8:11" x14ac:dyDescent="0.35">
      <c r="H303" s="118"/>
      <c r="K303" s="118"/>
    </row>
    <row r="304" spans="8:11" x14ac:dyDescent="0.35">
      <c r="K304" s="118"/>
    </row>
    <row r="305" spans="4:11" x14ac:dyDescent="0.35">
      <c r="D305" s="119"/>
      <c r="E305" s="118"/>
      <c r="K305" s="118"/>
    </row>
    <row r="306" spans="4:11" x14ac:dyDescent="0.35">
      <c r="D306" s="119"/>
      <c r="E306" s="118"/>
      <c r="K306" s="118"/>
    </row>
    <row r="307" spans="4:11" x14ac:dyDescent="0.35">
      <c r="D307" s="119"/>
      <c r="E307" s="118"/>
      <c r="K307" s="118"/>
    </row>
    <row r="308" spans="4:11" x14ac:dyDescent="0.35">
      <c r="D308" s="119"/>
      <c r="E308" s="118"/>
      <c r="K308" s="118"/>
    </row>
    <row r="309" spans="4:11" x14ac:dyDescent="0.35">
      <c r="D309" s="119"/>
      <c r="E309" s="118"/>
      <c r="K309" s="118"/>
    </row>
    <row r="310" spans="4:11" x14ac:dyDescent="0.35">
      <c r="D310" s="119"/>
      <c r="E310" s="118"/>
      <c r="K310" s="118"/>
    </row>
    <row r="311" spans="4:11" x14ac:dyDescent="0.35">
      <c r="D311" s="119"/>
      <c r="E311" s="118"/>
      <c r="K311" s="118"/>
    </row>
  </sheetData>
  <sheetProtection sort="0" autoFilter="0"/>
  <mergeCells count="38"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  <mergeCell ref="A163:L163"/>
    <mergeCell ref="H152:L152"/>
    <mergeCell ref="A153:B153"/>
    <mergeCell ref="D153:E153"/>
    <mergeCell ref="F153:G153"/>
    <mergeCell ref="H153:L153"/>
    <mergeCell ref="A10:L10"/>
    <mergeCell ref="B12:E12"/>
    <mergeCell ref="A151:B151"/>
    <mergeCell ref="C151:D151"/>
    <mergeCell ref="E151:G151"/>
    <mergeCell ref="H151:L151"/>
    <mergeCell ref="A8:B8"/>
    <mergeCell ref="C8:D8"/>
    <mergeCell ref="E8:F8"/>
    <mergeCell ref="G8:I8"/>
    <mergeCell ref="K8:L8"/>
    <mergeCell ref="A9:B9"/>
    <mergeCell ref="C9:D9"/>
    <mergeCell ref="E9:F9"/>
    <mergeCell ref="G9:J9"/>
    <mergeCell ref="K9:L9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topLeftCell="A125" zoomScaleSheetLayoutView="100" workbookViewId="0">
      <selection activeCell="I15" sqref="I15:I16"/>
    </sheetView>
  </sheetViews>
  <sheetFormatPr defaultColWidth="10.7265625" defaultRowHeight="12.5" x14ac:dyDescent="0.35"/>
  <cols>
    <col min="1" max="1" width="8" style="101" customWidth="1"/>
    <col min="2" max="2" width="15.453125" style="101" customWidth="1"/>
    <col min="3" max="3" width="12.7265625" style="101" customWidth="1"/>
    <col min="4" max="4" width="9.54296875" style="102" customWidth="1"/>
    <col min="5" max="5" width="15.81640625" style="101" customWidth="1"/>
    <col min="6" max="6" width="3.453125" style="103" customWidth="1"/>
    <col min="7" max="7" width="7.54296875" style="101" customWidth="1"/>
    <col min="8" max="8" width="7.26953125" style="101" customWidth="1"/>
    <col min="9" max="10" width="7.26953125" style="103" customWidth="1"/>
    <col min="11" max="11" width="7.26953125" style="101" customWidth="1"/>
    <col min="12" max="12" width="13.1796875" style="101" bestFit="1" customWidth="1"/>
    <col min="13" max="13" width="9.54296875" style="101" customWidth="1"/>
    <col min="14" max="16384" width="10.7265625" style="101"/>
  </cols>
  <sheetData>
    <row r="1" spans="1:26" ht="13" x14ac:dyDescent="0.35">
      <c r="A1" s="616"/>
      <c r="B1" s="616"/>
      <c r="G1" s="104"/>
      <c r="H1" s="397"/>
      <c r="I1" s="398"/>
      <c r="J1" s="398"/>
      <c r="K1" s="398"/>
      <c r="L1" s="121"/>
      <c r="M1" s="100"/>
    </row>
    <row r="2" spans="1:26" ht="13" x14ac:dyDescent="0.35">
      <c r="G2" s="104"/>
      <c r="H2" s="105" t="s">
        <v>503</v>
      </c>
      <c r="I2" s="106"/>
      <c r="J2" s="106"/>
      <c r="K2" s="106"/>
      <c r="L2" s="106"/>
      <c r="M2" s="104"/>
    </row>
    <row r="3" spans="1:26" ht="13" x14ac:dyDescent="0.35">
      <c r="G3" s="104"/>
      <c r="H3" s="107" t="s">
        <v>504</v>
      </c>
      <c r="I3" s="101"/>
      <c r="J3" s="101"/>
      <c r="K3" s="106"/>
      <c r="L3" s="106"/>
      <c r="M3" s="104"/>
    </row>
    <row r="4" spans="1:26" ht="13" x14ac:dyDescent="0.35">
      <c r="G4" s="104"/>
      <c r="H4" s="107" t="s">
        <v>505</v>
      </c>
      <c r="I4" s="101"/>
      <c r="J4" s="101"/>
      <c r="K4" s="106"/>
      <c r="L4" s="106"/>
      <c r="M4" s="104"/>
    </row>
    <row r="5" spans="1:26" ht="13" x14ac:dyDescent="0.35">
      <c r="G5" s="104"/>
      <c r="H5" s="107" t="s">
        <v>506</v>
      </c>
      <c r="I5" s="101"/>
      <c r="J5" s="101"/>
      <c r="K5" s="106"/>
      <c r="L5" s="106"/>
      <c r="M5" s="104"/>
    </row>
    <row r="6" spans="1:26" ht="13" x14ac:dyDescent="0.35">
      <c r="G6" s="104"/>
      <c r="H6" s="107" t="s">
        <v>510</v>
      </c>
      <c r="K6" s="106"/>
      <c r="L6" s="106"/>
      <c r="M6" s="104"/>
    </row>
    <row r="7" spans="1:26" x14ac:dyDescent="0.35">
      <c r="A7" s="108"/>
      <c r="B7" s="108"/>
      <c r="C7" s="108"/>
      <c r="D7" s="109"/>
      <c r="E7" s="108"/>
      <c r="F7" s="110"/>
      <c r="G7" s="111"/>
      <c r="H7" s="112"/>
      <c r="I7" s="110"/>
      <c r="J7" s="110"/>
      <c r="K7" s="108"/>
      <c r="L7" s="108"/>
      <c r="M7" s="111"/>
    </row>
    <row r="8" spans="1:26" ht="14.5" customHeight="1" x14ac:dyDescent="0.35">
      <c r="A8" s="557" t="s">
        <v>77</v>
      </c>
      <c r="B8" s="558"/>
      <c r="C8" s="559" t="s">
        <v>78</v>
      </c>
      <c r="D8" s="562"/>
      <c r="E8" s="611" t="s">
        <v>222</v>
      </c>
      <c r="F8" s="612"/>
      <c r="G8" s="559" t="s">
        <v>107</v>
      </c>
      <c r="H8" s="563"/>
      <c r="I8" s="563"/>
      <c r="J8" s="403"/>
      <c r="K8" s="559"/>
      <c r="L8" s="563"/>
      <c r="M8" s="562"/>
    </row>
    <row r="9" spans="1:26" s="103" customFormat="1" x14ac:dyDescent="0.25">
      <c r="A9" s="606" t="s">
        <v>108</v>
      </c>
      <c r="B9" s="607"/>
      <c r="C9" s="608">
        <v>45654</v>
      </c>
      <c r="D9" s="609"/>
      <c r="E9" s="606" t="s">
        <v>379</v>
      </c>
      <c r="F9" s="607"/>
      <c r="G9" s="606" t="s">
        <v>502</v>
      </c>
      <c r="H9" s="610"/>
      <c r="I9" s="610"/>
      <c r="J9" s="404"/>
      <c r="K9" s="606"/>
      <c r="L9" s="610"/>
      <c r="M9" s="607"/>
    </row>
    <row r="10" spans="1:26" ht="27" customHeight="1" x14ac:dyDescent="0.35">
      <c r="A10" s="136" t="s">
        <v>84</v>
      </c>
      <c r="B10" s="613" t="s">
        <v>85</v>
      </c>
      <c r="C10" s="614"/>
      <c r="D10" s="614"/>
      <c r="E10" s="615"/>
      <c r="F10" s="117" t="s">
        <v>86</v>
      </c>
      <c r="G10" s="116" t="s">
        <v>87</v>
      </c>
      <c r="H10" s="116" t="s">
        <v>281</v>
      </c>
      <c r="I10" s="136" t="s">
        <v>282</v>
      </c>
      <c r="J10" s="136" t="s">
        <v>368</v>
      </c>
      <c r="K10" s="116" t="s">
        <v>89</v>
      </c>
      <c r="L10" s="116" t="s">
        <v>279</v>
      </c>
      <c r="M10" s="116" t="s">
        <v>109</v>
      </c>
    </row>
    <row r="11" spans="1:26" ht="14.5" x14ac:dyDescent="0.35">
      <c r="A11" s="137"/>
      <c r="B11" s="138" t="s">
        <v>545</v>
      </c>
      <c r="C11" s="139"/>
      <c r="D11" s="139"/>
      <c r="E11" s="394"/>
      <c r="F11" s="140"/>
      <c r="G11" s="140"/>
      <c r="H11" s="183"/>
      <c r="I11" s="184"/>
      <c r="J11" s="184"/>
      <c r="K11" s="141"/>
      <c r="L11" s="229"/>
      <c r="M11" s="142"/>
    </row>
    <row r="12" spans="1:26" ht="14.5" x14ac:dyDescent="0.35">
      <c r="A12" s="143">
        <f t="array" ref="A12:A15">INDEX(orderItemData[sku_geko], SMALL(IF((orderItemData[qty]&lt;&gt;0)*(orderItemData[order_no]=1), ROW(orderItemData[qty])-MIN(ROW(orderItemData[qty]))+1), ROW(A1:A4)))</f>
        <v>0</v>
      </c>
      <c r="B12" s="137">
        <f t="array" ref="B12:B15">INDEX(orderItemData[description], SMALL(IF((orderItemData[qty]&lt;&gt;0)*(orderItemData[order_no]=1), ROW(orderItemData[qty])-MIN(ROW(orderItemData[qty]))+1), ROW(A1:A4)))</f>
        <v>0</v>
      </c>
      <c r="C12" s="401"/>
      <c r="D12" s="145"/>
      <c r="E12" s="402"/>
      <c r="F12" s="147" t="s">
        <v>244</v>
      </c>
      <c r="G12" s="148">
        <f t="array" ref="G12:G15">INDEX(orderItemData[qty], SMALL(IF((orderItemData[qty]&lt;&gt;0)*(orderItemData[order_no]=1), ROW(orderItemData[qty])-MIN(ROW(orderItemData[qty]))+1), ROW(A1:A4)))</f>
        <v>0</v>
      </c>
      <c r="H12" s="185">
        <f>ROUND(G12/24*9.48,1)</f>
        <v>0</v>
      </c>
      <c r="I12" s="186">
        <f>ROUND(G12/24*9.9,1)</f>
        <v>0</v>
      </c>
      <c r="J12" s="405">
        <f xml:space="preserve"> G12/24*370*275*170/ 1000000000</f>
        <v>0</v>
      </c>
      <c r="K12" s="149">
        <f>CEILING(G12/24,1)</f>
        <v>0</v>
      </c>
      <c r="L12" s="230">
        <f t="array" ref="L12:L15">INDEX(orderItemData[hs_code], SMALL(IF((orderItemData[qty]&lt;&gt;0)*(orderItemData[order_no]=1), ROW(orderItemData[qty])-MIN(ROW(orderItemData[qty]))+1), ROW(A1:A4)))</f>
        <v>0</v>
      </c>
      <c r="M12" s="150" t="e">
        <f>INDEX(productData[country_of_origin],MATCH(Z12,productData[sku],0))</f>
        <v>#N/A</v>
      </c>
      <c r="O12" s="189"/>
      <c r="T12" s="182"/>
      <c r="U12" s="182"/>
      <c r="Z12" s="101">
        <f t="array" ref="Z12:Z15">INDEX(orderItemData[sku], SMALL(IF((orderItemData[qty]&lt;&gt;0)*(orderItemData[order_no]=1), ROW(orderItemData[qty])-MIN(ROW(orderItemData[qty]))+1), ROW(A1:A4)))</f>
        <v>0</v>
      </c>
    </row>
    <row r="13" spans="1:26" ht="14.5" x14ac:dyDescent="0.35">
      <c r="A13" s="143" t="e">
        <v>#NUM!</v>
      </c>
      <c r="B13" s="137" t="e">
        <v>#NUM!</v>
      </c>
      <c r="C13" s="144"/>
      <c r="D13" s="145"/>
      <c r="E13" s="146"/>
      <c r="F13" s="147" t="s">
        <v>244</v>
      </c>
      <c r="G13" s="148" t="e">
        <v>#NUM!</v>
      </c>
      <c r="H13" s="185" t="e">
        <f>ROUND(G13/24*9.48,1)</f>
        <v>#NUM!</v>
      </c>
      <c r="I13" s="186" t="e">
        <f>ROUND(G13/24*9.9,1)</f>
        <v>#NUM!</v>
      </c>
      <c r="J13" s="405" t="e">
        <f xml:space="preserve"> G13/24*370*275*170/ 1000000000</f>
        <v>#NUM!</v>
      </c>
      <c r="K13" s="149" t="e">
        <f>CEILING(G13/24,1)</f>
        <v>#NUM!</v>
      </c>
      <c r="L13" s="230" t="e">
        <v>#NUM!</v>
      </c>
      <c r="M13" s="150" t="e">
        <f>INDEX(productData[country_of_origin],MATCH(Z13,productData[sku],0))</f>
        <v>#NUM!</v>
      </c>
      <c r="O13" s="189"/>
      <c r="T13" s="182"/>
      <c r="U13" s="182"/>
      <c r="Z13" s="101" t="e">
        <v>#NUM!</v>
      </c>
    </row>
    <row r="14" spans="1:26" ht="14.5" x14ac:dyDescent="0.35">
      <c r="A14" s="143" t="e">
        <v>#NUM!</v>
      </c>
      <c r="B14" s="137" t="e">
        <v>#NUM!</v>
      </c>
      <c r="C14" s="144"/>
      <c r="D14" s="145"/>
      <c r="E14" s="146"/>
      <c r="F14" s="147" t="s">
        <v>244</v>
      </c>
      <c r="G14" s="148" t="e">
        <v>#NUM!</v>
      </c>
      <c r="H14" s="185" t="e">
        <f>ROUND(G14/24*9.48,1)</f>
        <v>#NUM!</v>
      </c>
      <c r="I14" s="186" t="e">
        <f>ROUND(G14/24*9.9,1)</f>
        <v>#NUM!</v>
      </c>
      <c r="J14" s="405" t="e">
        <f xml:space="preserve"> G14/24*370*275*170/ 1000000000</f>
        <v>#NUM!</v>
      </c>
      <c r="K14" s="149" t="e">
        <f>CEILING(G14/24,1)</f>
        <v>#NUM!</v>
      </c>
      <c r="L14" s="230" t="e">
        <v>#NUM!</v>
      </c>
      <c r="M14" s="150" t="e">
        <f>INDEX(productData[country_of_origin],MATCH(Z14,productData[sku],0))</f>
        <v>#NUM!</v>
      </c>
      <c r="O14" s="189"/>
      <c r="T14" s="182"/>
      <c r="U14" s="182"/>
      <c r="Z14" s="101" t="e">
        <v>#NUM!</v>
      </c>
    </row>
    <row r="15" spans="1:26" ht="14.5" x14ac:dyDescent="0.35">
      <c r="A15" s="143" t="e">
        <v>#NUM!</v>
      </c>
      <c r="B15" s="137" t="e">
        <v>#NUM!</v>
      </c>
      <c r="C15" s="144"/>
      <c r="D15" s="145"/>
      <c r="E15" s="146"/>
      <c r="F15" s="147" t="s">
        <v>244</v>
      </c>
      <c r="G15" s="148" t="e">
        <v>#NUM!</v>
      </c>
      <c r="H15" s="185" t="e">
        <f>ROUND(G15/24*9.48,1)</f>
        <v>#NUM!</v>
      </c>
      <c r="I15" s="186" t="e">
        <f>ROUND(G15/24*9.9,1)</f>
        <v>#NUM!</v>
      </c>
      <c r="J15" s="405" t="e">
        <f xml:space="preserve"> G15/24*370*275*170/ 1000000000</f>
        <v>#NUM!</v>
      </c>
      <c r="K15" s="149" t="e">
        <f>CEILING(G15/24,1)</f>
        <v>#NUM!</v>
      </c>
      <c r="L15" s="230" t="e">
        <v>#NUM!</v>
      </c>
      <c r="M15" s="150" t="e">
        <f>INDEX(productData[country_of_origin],MATCH(Z15,productData[sku],0))</f>
        <v>#NUM!</v>
      </c>
      <c r="O15" s="189"/>
      <c r="T15" s="182"/>
      <c r="U15" s="182"/>
      <c r="Z15" s="101" t="e">
        <v>#NUM!</v>
      </c>
    </row>
    <row r="16" spans="1:26" ht="14.5" x14ac:dyDescent="0.35">
      <c r="A16" s="143"/>
      <c r="B16" s="137"/>
      <c r="C16" s="144"/>
      <c r="D16" s="145"/>
      <c r="E16" s="146"/>
      <c r="F16" s="147"/>
      <c r="G16" s="148"/>
      <c r="H16" s="185"/>
      <c r="I16" s="186"/>
      <c r="J16" s="405"/>
      <c r="K16" s="149"/>
      <c r="L16" s="230"/>
      <c r="M16" s="150"/>
      <c r="O16" s="189"/>
      <c r="T16" s="182"/>
      <c r="U16" s="182"/>
    </row>
    <row r="17" spans="1:21" ht="14.5" x14ac:dyDescent="0.35">
      <c r="A17" s="143"/>
      <c r="B17" s="137"/>
      <c r="C17" s="144"/>
      <c r="D17" s="145"/>
      <c r="E17" s="146"/>
      <c r="F17" s="147"/>
      <c r="G17" s="148"/>
      <c r="H17" s="185"/>
      <c r="I17" s="186"/>
      <c r="J17" s="405"/>
      <c r="K17" s="149"/>
      <c r="L17" s="230"/>
      <c r="M17" s="150"/>
      <c r="O17" s="189"/>
      <c r="T17" s="182"/>
      <c r="U17" s="182"/>
    </row>
    <row r="18" spans="1:21" ht="14.5" x14ac:dyDescent="0.35">
      <c r="A18" s="143"/>
      <c r="B18" s="137"/>
      <c r="C18" s="144"/>
      <c r="D18" s="145"/>
      <c r="E18" s="146"/>
      <c r="F18" s="147"/>
      <c r="G18" s="148"/>
      <c r="H18" s="185"/>
      <c r="I18" s="186"/>
      <c r="J18" s="405"/>
      <c r="K18" s="149"/>
      <c r="L18" s="230"/>
      <c r="M18" s="150"/>
      <c r="O18" s="189"/>
      <c r="T18" s="182"/>
      <c r="U18" s="182"/>
    </row>
    <row r="19" spans="1:21" ht="14.5" x14ac:dyDescent="0.35">
      <c r="A19" s="143"/>
      <c r="B19" s="137"/>
      <c r="C19" s="144"/>
      <c r="D19" s="145"/>
      <c r="E19" s="146"/>
      <c r="F19" s="147"/>
      <c r="G19" s="148"/>
      <c r="H19" s="185"/>
      <c r="I19" s="186"/>
      <c r="J19" s="405"/>
      <c r="K19" s="149"/>
      <c r="L19" s="230"/>
      <c r="M19" s="150"/>
      <c r="O19" s="189"/>
      <c r="T19" s="182"/>
      <c r="U19" s="182"/>
    </row>
    <row r="20" spans="1:21" ht="14.5" x14ac:dyDescent="0.35">
      <c r="A20" s="143"/>
      <c r="B20" s="137"/>
      <c r="C20" s="144"/>
      <c r="D20" s="145"/>
      <c r="E20" s="146"/>
      <c r="F20" s="147"/>
      <c r="G20" s="148"/>
      <c r="H20" s="185"/>
      <c r="I20" s="186"/>
      <c r="J20" s="405"/>
      <c r="K20" s="149"/>
      <c r="L20" s="230"/>
      <c r="M20" s="150"/>
      <c r="O20" s="189"/>
      <c r="T20" s="182"/>
      <c r="U20" s="182"/>
    </row>
    <row r="21" spans="1:21" ht="14.5" x14ac:dyDescent="0.35">
      <c r="A21" s="143"/>
      <c r="B21" s="137"/>
      <c r="C21" s="144"/>
      <c r="D21" s="145"/>
      <c r="E21" s="146"/>
      <c r="F21" s="147"/>
      <c r="G21" s="148"/>
      <c r="H21" s="185"/>
      <c r="I21" s="186"/>
      <c r="J21" s="405"/>
      <c r="K21" s="149"/>
      <c r="L21" s="230"/>
      <c r="M21" s="150"/>
      <c r="O21" s="189"/>
      <c r="T21" s="182"/>
      <c r="U21" s="182"/>
    </row>
    <row r="22" spans="1:21" ht="14.5" x14ac:dyDescent="0.35">
      <c r="A22" s="143"/>
      <c r="B22" s="137"/>
      <c r="C22" s="144"/>
      <c r="D22" s="145"/>
      <c r="E22" s="146"/>
      <c r="F22" s="147"/>
      <c r="G22" s="148"/>
      <c r="H22" s="185"/>
      <c r="I22" s="186"/>
      <c r="J22" s="405"/>
      <c r="K22" s="149"/>
      <c r="L22" s="230"/>
      <c r="M22" s="150"/>
      <c r="O22" s="189"/>
      <c r="T22" s="182"/>
      <c r="U22" s="182"/>
    </row>
    <row r="23" spans="1:21" ht="14.5" x14ac:dyDescent="0.35">
      <c r="A23" s="143"/>
      <c r="B23" s="137"/>
      <c r="C23" s="144"/>
      <c r="D23" s="145"/>
      <c r="E23" s="146"/>
      <c r="F23" s="147"/>
      <c r="G23" s="148"/>
      <c r="H23" s="185"/>
      <c r="I23" s="186"/>
      <c r="J23" s="405"/>
      <c r="K23" s="149"/>
      <c r="L23" s="230"/>
      <c r="M23" s="150"/>
      <c r="O23" s="189"/>
      <c r="T23" s="182"/>
      <c r="U23" s="182"/>
    </row>
    <row r="24" spans="1:21" ht="14.5" x14ac:dyDescent="0.35">
      <c r="A24" s="143"/>
      <c r="B24" s="137"/>
      <c r="C24" s="144"/>
      <c r="D24" s="145"/>
      <c r="E24" s="146"/>
      <c r="F24" s="147"/>
      <c r="G24" s="148"/>
      <c r="H24" s="185"/>
      <c r="I24" s="186"/>
      <c r="J24" s="405"/>
      <c r="K24" s="149"/>
      <c r="L24" s="230"/>
      <c r="M24" s="150"/>
      <c r="T24" s="182"/>
      <c r="U24" s="182"/>
    </row>
    <row r="25" spans="1:21" ht="14.5" x14ac:dyDescent="0.35">
      <c r="A25" s="143"/>
      <c r="B25" s="137"/>
      <c r="C25" s="144"/>
      <c r="D25" s="145"/>
      <c r="E25" s="146"/>
      <c r="F25" s="147"/>
      <c r="G25" s="148"/>
      <c r="H25" s="185"/>
      <c r="I25" s="186"/>
      <c r="J25" s="405"/>
      <c r="K25" s="149"/>
      <c r="L25" s="230"/>
      <c r="M25" s="150"/>
      <c r="T25" s="182"/>
      <c r="U25" s="182"/>
    </row>
    <row r="26" spans="1:21" ht="14.5" x14ac:dyDescent="0.35">
      <c r="A26" s="143"/>
      <c r="B26" s="137"/>
      <c r="C26" s="144"/>
      <c r="D26" s="145"/>
      <c r="E26" s="146"/>
      <c r="F26" s="147"/>
      <c r="G26" s="148"/>
      <c r="H26" s="185"/>
      <c r="I26" s="186"/>
      <c r="J26" s="405"/>
      <c r="K26" s="149"/>
      <c r="L26" s="230"/>
      <c r="M26" s="150"/>
      <c r="T26" s="182"/>
      <c r="U26" s="182"/>
    </row>
    <row r="27" spans="1:21" ht="14.5" x14ac:dyDescent="0.35">
      <c r="A27" s="143"/>
      <c r="B27" s="137"/>
      <c r="C27" s="144"/>
      <c r="D27" s="145"/>
      <c r="E27" s="146"/>
      <c r="F27" s="147"/>
      <c r="G27" s="148"/>
      <c r="H27" s="185"/>
      <c r="I27" s="186"/>
      <c r="J27" s="405"/>
      <c r="K27" s="149"/>
      <c r="L27" s="230"/>
      <c r="M27" s="150"/>
      <c r="T27" s="182"/>
      <c r="U27" s="182"/>
    </row>
    <row r="28" spans="1:21" ht="14.5" x14ac:dyDescent="0.35">
      <c r="A28" s="143"/>
      <c r="B28" s="137"/>
      <c r="C28" s="144"/>
      <c r="D28" s="145"/>
      <c r="E28" s="146"/>
      <c r="F28" s="147"/>
      <c r="G28" s="148"/>
      <c r="H28" s="185"/>
      <c r="I28" s="186"/>
      <c r="J28" s="405"/>
      <c r="K28" s="149"/>
      <c r="L28" s="230"/>
      <c r="M28" s="150"/>
      <c r="T28" s="182"/>
      <c r="U28" s="182"/>
    </row>
    <row r="29" spans="1:21" ht="14.5" x14ac:dyDescent="0.35">
      <c r="A29" s="143"/>
      <c r="B29" s="137"/>
      <c r="C29" s="144"/>
      <c r="D29" s="145"/>
      <c r="E29" s="146"/>
      <c r="F29" s="147"/>
      <c r="G29" s="148"/>
      <c r="H29" s="185"/>
      <c r="I29" s="186"/>
      <c r="J29" s="405"/>
      <c r="K29" s="149"/>
      <c r="L29" s="230"/>
      <c r="M29" s="150"/>
      <c r="T29" s="182"/>
      <c r="U29" s="182"/>
    </row>
    <row r="30" spans="1:21" ht="14.5" x14ac:dyDescent="0.35">
      <c r="A30" s="143"/>
      <c r="B30" s="137"/>
      <c r="C30" s="144"/>
      <c r="D30" s="145"/>
      <c r="E30" s="146"/>
      <c r="F30" s="147"/>
      <c r="G30" s="148"/>
      <c r="H30" s="185"/>
      <c r="I30" s="186"/>
      <c r="J30" s="405"/>
      <c r="K30" s="149"/>
      <c r="L30" s="230"/>
      <c r="M30" s="150"/>
      <c r="T30" s="182"/>
      <c r="U30" s="182"/>
    </row>
    <row r="31" spans="1:21" ht="14.5" x14ac:dyDescent="0.35">
      <c r="A31" s="143"/>
      <c r="B31" s="137"/>
      <c r="C31" s="144"/>
      <c r="D31" s="145"/>
      <c r="E31" s="146"/>
      <c r="F31" s="147"/>
      <c r="G31" s="148"/>
      <c r="H31" s="185"/>
      <c r="I31" s="186"/>
      <c r="J31" s="405"/>
      <c r="K31" s="149"/>
      <c r="L31" s="230"/>
      <c r="M31" s="150"/>
      <c r="T31" s="182"/>
      <c r="U31" s="182"/>
    </row>
    <row r="32" spans="1:21" ht="14.5" x14ac:dyDescent="0.35">
      <c r="A32" s="143"/>
      <c r="B32" s="137"/>
      <c r="C32" s="144"/>
      <c r="D32" s="145"/>
      <c r="E32" s="146"/>
      <c r="F32" s="147"/>
      <c r="G32" s="148"/>
      <c r="H32" s="185"/>
      <c r="I32" s="186"/>
      <c r="J32" s="405"/>
      <c r="K32" s="149"/>
      <c r="L32" s="230"/>
      <c r="M32" s="150"/>
      <c r="T32" s="182"/>
      <c r="U32" s="182"/>
    </row>
    <row r="33" spans="1:21" ht="14.5" x14ac:dyDescent="0.35">
      <c r="A33" s="143"/>
      <c r="B33" s="137"/>
      <c r="C33" s="144"/>
      <c r="D33" s="145"/>
      <c r="E33" s="146"/>
      <c r="F33" s="147"/>
      <c r="G33" s="148"/>
      <c r="H33" s="185"/>
      <c r="I33" s="186"/>
      <c r="J33" s="405"/>
      <c r="K33" s="149"/>
      <c r="L33" s="230"/>
      <c r="M33" s="150"/>
      <c r="T33" s="182"/>
      <c r="U33" s="182"/>
    </row>
    <row r="34" spans="1:21" ht="14.5" x14ac:dyDescent="0.35">
      <c r="A34" s="143"/>
      <c r="B34" s="137"/>
      <c r="C34" s="144"/>
      <c r="D34" s="145"/>
      <c r="E34" s="146"/>
      <c r="F34" s="147"/>
      <c r="G34" s="148"/>
      <c r="H34" s="185"/>
      <c r="I34" s="186"/>
      <c r="J34" s="405"/>
      <c r="K34" s="149"/>
      <c r="L34" s="230"/>
      <c r="M34" s="150"/>
      <c r="T34" s="182"/>
      <c r="U34" s="182"/>
    </row>
    <row r="35" spans="1:21" ht="14.5" x14ac:dyDescent="0.35">
      <c r="A35" s="143"/>
      <c r="B35" s="137"/>
      <c r="C35" s="144"/>
      <c r="D35" s="145"/>
      <c r="E35" s="146"/>
      <c r="F35" s="147"/>
      <c r="G35" s="148"/>
      <c r="H35" s="185"/>
      <c r="I35" s="186"/>
      <c r="J35" s="405"/>
      <c r="K35" s="149"/>
      <c r="L35" s="230"/>
      <c r="M35" s="150"/>
      <c r="T35" s="182"/>
      <c r="U35" s="182"/>
    </row>
    <row r="36" spans="1:21" ht="14.5" x14ac:dyDescent="0.35">
      <c r="A36" s="143"/>
      <c r="B36" s="137"/>
      <c r="C36" s="144"/>
      <c r="D36" s="145"/>
      <c r="E36" s="146"/>
      <c r="F36" s="147"/>
      <c r="G36" s="148"/>
      <c r="H36" s="185"/>
      <c r="I36" s="186"/>
      <c r="J36" s="405"/>
      <c r="K36" s="149"/>
      <c r="L36" s="230"/>
      <c r="M36" s="150"/>
      <c r="T36" s="182"/>
      <c r="U36" s="182"/>
    </row>
    <row r="37" spans="1:21" ht="14.5" x14ac:dyDescent="0.35">
      <c r="A37" s="143"/>
      <c r="B37" s="137"/>
      <c r="C37" s="144"/>
      <c r="D37" s="145"/>
      <c r="E37" s="146"/>
      <c r="F37" s="147"/>
      <c r="G37" s="148"/>
      <c r="H37" s="185"/>
      <c r="I37" s="186"/>
      <c r="J37" s="405"/>
      <c r="K37" s="149"/>
      <c r="L37" s="230"/>
      <c r="M37" s="150"/>
      <c r="T37" s="182"/>
      <c r="U37" s="182"/>
    </row>
    <row r="38" spans="1:21" ht="14.5" x14ac:dyDescent="0.35">
      <c r="A38" s="143"/>
      <c r="B38" s="137"/>
      <c r="C38" s="144"/>
      <c r="D38" s="145"/>
      <c r="E38" s="146"/>
      <c r="F38" s="147"/>
      <c r="G38" s="148"/>
      <c r="H38" s="185"/>
      <c r="I38" s="186"/>
      <c r="J38" s="405"/>
      <c r="K38" s="149"/>
      <c r="L38" s="230"/>
      <c r="M38" s="150"/>
    </row>
    <row r="39" spans="1:21" ht="14.5" x14ac:dyDescent="0.35">
      <c r="A39" s="143"/>
      <c r="B39" s="137"/>
      <c r="C39" s="144"/>
      <c r="D39" s="145"/>
      <c r="E39" s="146"/>
      <c r="F39" s="147"/>
      <c r="G39" s="148"/>
      <c r="H39" s="185"/>
      <c r="I39" s="186"/>
      <c r="J39" s="405"/>
      <c r="K39" s="149"/>
      <c r="L39" s="230"/>
      <c r="M39" s="150"/>
    </row>
    <row r="40" spans="1:21" ht="14.5" x14ac:dyDescent="0.35">
      <c r="A40" s="143"/>
      <c r="B40" s="137"/>
      <c r="C40" s="144"/>
      <c r="D40" s="145"/>
      <c r="E40" s="146"/>
      <c r="F40" s="147"/>
      <c r="G40" s="148"/>
      <c r="H40" s="185"/>
      <c r="I40" s="186"/>
      <c r="J40" s="405"/>
      <c r="K40" s="149"/>
      <c r="L40" s="230"/>
      <c r="M40" s="150"/>
    </row>
    <row r="41" spans="1:21" ht="14.5" x14ac:dyDescent="0.35">
      <c r="A41" s="143"/>
      <c r="B41" s="137"/>
      <c r="C41" s="144"/>
      <c r="D41" s="145"/>
      <c r="E41" s="146"/>
      <c r="F41" s="147"/>
      <c r="G41" s="148"/>
      <c r="H41" s="185"/>
      <c r="I41" s="186"/>
      <c r="J41" s="405"/>
      <c r="K41" s="149"/>
      <c r="L41" s="230"/>
      <c r="M41" s="150"/>
    </row>
    <row r="42" spans="1:21" ht="14.5" x14ac:dyDescent="0.35">
      <c r="A42" s="143"/>
      <c r="B42" s="137"/>
      <c r="C42" s="144"/>
      <c r="D42" s="145"/>
      <c r="E42" s="146"/>
      <c r="F42" s="147"/>
      <c r="G42" s="148"/>
      <c r="H42" s="185"/>
      <c r="I42" s="186"/>
      <c r="J42" s="405"/>
      <c r="K42" s="149"/>
      <c r="L42" s="230"/>
      <c r="M42" s="150"/>
    </row>
    <row r="43" spans="1:21" ht="14.5" x14ac:dyDescent="0.35">
      <c r="A43" s="143"/>
      <c r="B43" s="137"/>
      <c r="C43" s="144"/>
      <c r="D43" s="145"/>
      <c r="E43" s="146"/>
      <c r="F43" s="147"/>
      <c r="G43" s="148"/>
      <c r="H43" s="185"/>
      <c r="I43" s="186"/>
      <c r="J43" s="405"/>
      <c r="K43" s="149"/>
      <c r="L43" s="230"/>
      <c r="M43" s="150"/>
    </row>
    <row r="44" spans="1:21" ht="14.5" x14ac:dyDescent="0.35">
      <c r="A44" s="143"/>
      <c r="B44" s="137"/>
      <c r="C44" s="144"/>
      <c r="D44" s="145"/>
      <c r="E44" s="146"/>
      <c r="F44" s="147"/>
      <c r="G44" s="148"/>
      <c r="H44" s="185"/>
      <c r="I44" s="186"/>
      <c r="J44" s="405"/>
      <c r="K44" s="149"/>
      <c r="L44" s="230"/>
      <c r="M44" s="150"/>
    </row>
    <row r="45" spans="1:21" ht="14.5" x14ac:dyDescent="0.35">
      <c r="A45" s="143"/>
      <c r="B45" s="137"/>
      <c r="C45" s="144"/>
      <c r="D45" s="145"/>
      <c r="E45" s="146"/>
      <c r="F45" s="147"/>
      <c r="G45" s="148"/>
      <c r="H45" s="185"/>
      <c r="I45" s="186"/>
      <c r="J45" s="405"/>
      <c r="K45" s="149"/>
      <c r="L45" s="230"/>
      <c r="M45" s="150"/>
    </row>
    <row r="46" spans="1:21" ht="14.5" x14ac:dyDescent="0.35">
      <c r="A46" s="143"/>
      <c r="B46" s="137"/>
      <c r="C46" s="144"/>
      <c r="D46" s="145"/>
      <c r="E46" s="146"/>
      <c r="F46" s="147"/>
      <c r="G46" s="148"/>
      <c r="H46" s="185"/>
      <c r="I46" s="186"/>
      <c r="J46" s="405"/>
      <c r="K46" s="149"/>
      <c r="L46" s="230"/>
      <c r="M46" s="150"/>
    </row>
    <row r="47" spans="1:21" ht="14.5" x14ac:dyDescent="0.35">
      <c r="A47" s="143"/>
      <c r="B47" s="137"/>
      <c r="C47" s="144"/>
      <c r="D47" s="145"/>
      <c r="E47" s="146"/>
      <c r="F47" s="147"/>
      <c r="G47" s="148"/>
      <c r="H47" s="185"/>
      <c r="I47" s="186"/>
      <c r="J47" s="405"/>
      <c r="K47" s="149"/>
      <c r="L47" s="230"/>
      <c r="M47" s="150"/>
    </row>
    <row r="48" spans="1:21" ht="14.5" x14ac:dyDescent="0.35">
      <c r="A48" s="143"/>
      <c r="B48" s="137"/>
      <c r="C48" s="144"/>
      <c r="D48" s="145"/>
      <c r="E48" s="146"/>
      <c r="F48" s="147"/>
      <c r="G48" s="148"/>
      <c r="H48" s="185"/>
      <c r="I48" s="186"/>
      <c r="J48" s="405"/>
      <c r="K48" s="149"/>
      <c r="L48" s="230"/>
      <c r="M48" s="150"/>
    </row>
    <row r="49" spans="1:13" ht="14.5" x14ac:dyDescent="0.35">
      <c r="A49" s="143"/>
      <c r="B49" s="137"/>
      <c r="C49" s="144"/>
      <c r="D49" s="145"/>
      <c r="E49" s="146"/>
      <c r="F49" s="147"/>
      <c r="G49" s="148"/>
      <c r="H49" s="185"/>
      <c r="I49" s="186"/>
      <c r="J49" s="405"/>
      <c r="K49" s="149"/>
      <c r="L49" s="230"/>
      <c r="M49" s="150"/>
    </row>
    <row r="50" spans="1:13" ht="14.5" x14ac:dyDescent="0.35">
      <c r="A50" s="143"/>
      <c r="B50" s="137"/>
      <c r="C50" s="144"/>
      <c r="D50" s="145"/>
      <c r="E50" s="146"/>
      <c r="F50" s="147"/>
      <c r="G50" s="148"/>
      <c r="H50" s="185"/>
      <c r="I50" s="186"/>
      <c r="J50" s="405"/>
      <c r="K50" s="149"/>
      <c r="L50" s="230"/>
      <c r="M50" s="150"/>
    </row>
    <row r="51" spans="1:13" ht="14.5" x14ac:dyDescent="0.35">
      <c r="A51" s="143"/>
      <c r="B51" s="137"/>
      <c r="C51" s="144"/>
      <c r="D51" s="145"/>
      <c r="E51" s="146"/>
      <c r="F51" s="147"/>
      <c r="G51" s="148"/>
      <c r="H51" s="185"/>
      <c r="I51" s="186"/>
      <c r="J51" s="405"/>
      <c r="K51" s="149"/>
      <c r="L51" s="230"/>
      <c r="M51" s="150"/>
    </row>
    <row r="52" spans="1:13" ht="14.5" x14ac:dyDescent="0.35">
      <c r="A52" s="143"/>
      <c r="B52" s="137"/>
      <c r="C52" s="144"/>
      <c r="D52" s="145"/>
      <c r="E52" s="146"/>
      <c r="F52" s="147"/>
      <c r="G52" s="148"/>
      <c r="H52" s="185"/>
      <c r="I52" s="186"/>
      <c r="J52" s="405"/>
      <c r="K52" s="149"/>
      <c r="L52" s="230"/>
      <c r="M52" s="150"/>
    </row>
    <row r="53" spans="1:13" ht="14.5" x14ac:dyDescent="0.35">
      <c r="A53" s="143"/>
      <c r="B53" s="137"/>
      <c r="C53" s="144"/>
      <c r="D53" s="145"/>
      <c r="E53" s="146"/>
      <c r="F53" s="147"/>
      <c r="G53" s="148"/>
      <c r="H53" s="185"/>
      <c r="I53" s="186"/>
      <c r="J53" s="405"/>
      <c r="K53" s="149"/>
      <c r="L53" s="230"/>
      <c r="M53" s="150"/>
    </row>
    <row r="54" spans="1:13" ht="14.5" x14ac:dyDescent="0.35">
      <c r="A54" s="143"/>
      <c r="B54" s="137"/>
      <c r="C54" s="144"/>
      <c r="D54" s="145"/>
      <c r="E54" s="146"/>
      <c r="F54" s="147"/>
      <c r="G54" s="148"/>
      <c r="H54" s="185"/>
      <c r="I54" s="186"/>
      <c r="J54" s="405"/>
      <c r="K54" s="149"/>
      <c r="L54" s="230"/>
      <c r="M54" s="150"/>
    </row>
    <row r="55" spans="1:13" ht="14.5" x14ac:dyDescent="0.35">
      <c r="A55" s="143"/>
      <c r="B55" s="137"/>
      <c r="C55" s="144"/>
      <c r="D55" s="145"/>
      <c r="E55" s="146"/>
      <c r="F55" s="147"/>
      <c r="G55" s="148"/>
      <c r="H55" s="185"/>
      <c r="I55" s="186"/>
      <c r="J55" s="405"/>
      <c r="K55" s="149"/>
      <c r="L55" s="230"/>
      <c r="M55" s="150"/>
    </row>
    <row r="56" spans="1:13" ht="14.5" x14ac:dyDescent="0.35">
      <c r="A56" s="143"/>
      <c r="B56" s="137"/>
      <c r="C56" s="144"/>
      <c r="D56" s="145"/>
      <c r="E56" s="146"/>
      <c r="F56" s="147"/>
      <c r="G56" s="148"/>
      <c r="H56" s="185"/>
      <c r="I56" s="186"/>
      <c r="J56" s="405"/>
      <c r="K56" s="149"/>
      <c r="L56" s="230"/>
      <c r="M56" s="150"/>
    </row>
    <row r="57" spans="1:13" ht="14.5" x14ac:dyDescent="0.35">
      <c r="A57" s="143"/>
      <c r="B57" s="137"/>
      <c r="C57" s="144"/>
      <c r="D57" s="145"/>
      <c r="E57" s="146"/>
      <c r="F57" s="147"/>
      <c r="G57" s="148"/>
      <c r="H57" s="185"/>
      <c r="I57" s="186"/>
      <c r="J57" s="405"/>
      <c r="K57" s="149"/>
      <c r="L57" s="230"/>
      <c r="M57" s="150"/>
    </row>
    <row r="58" spans="1:13" ht="14.5" x14ac:dyDescent="0.35">
      <c r="A58" s="143"/>
      <c r="B58" s="137"/>
      <c r="C58" s="144"/>
      <c r="D58" s="145"/>
      <c r="E58" s="146"/>
      <c r="F58" s="147"/>
      <c r="G58" s="148"/>
      <c r="H58" s="185"/>
      <c r="I58" s="186"/>
      <c r="J58" s="405"/>
      <c r="K58" s="149"/>
      <c r="L58" s="230"/>
      <c r="M58" s="150"/>
    </row>
    <row r="59" spans="1:13" ht="14.5" x14ac:dyDescent="0.35">
      <c r="A59" s="143"/>
      <c r="B59" s="137"/>
      <c r="C59" s="144"/>
      <c r="D59" s="145"/>
      <c r="E59" s="146"/>
      <c r="F59" s="147"/>
      <c r="G59" s="148"/>
      <c r="H59" s="185"/>
      <c r="I59" s="186"/>
      <c r="J59" s="405"/>
      <c r="K59" s="149"/>
      <c r="L59" s="230"/>
      <c r="M59" s="150"/>
    </row>
    <row r="60" spans="1:13" ht="14.5" x14ac:dyDescent="0.35">
      <c r="A60" s="143"/>
      <c r="B60" s="137"/>
      <c r="C60" s="144"/>
      <c r="D60" s="145"/>
      <c r="E60" s="146"/>
      <c r="F60" s="147"/>
      <c r="G60" s="148"/>
      <c r="H60" s="185"/>
      <c r="I60" s="186"/>
      <c r="J60" s="405"/>
      <c r="K60" s="149"/>
      <c r="L60" s="230"/>
      <c r="M60" s="150"/>
    </row>
    <row r="61" spans="1:13" ht="14.5" x14ac:dyDescent="0.35">
      <c r="A61" s="143"/>
      <c r="B61" s="137"/>
      <c r="C61" s="144"/>
      <c r="D61" s="145"/>
      <c r="E61" s="146"/>
      <c r="F61" s="147"/>
      <c r="G61" s="148"/>
      <c r="H61" s="185"/>
      <c r="I61" s="186"/>
      <c r="J61" s="405"/>
      <c r="K61" s="149"/>
      <c r="L61" s="230"/>
      <c r="M61" s="150"/>
    </row>
    <row r="62" spans="1:13" ht="14.5" x14ac:dyDescent="0.35">
      <c r="A62" s="143"/>
      <c r="B62" s="137"/>
      <c r="C62" s="144"/>
      <c r="D62" s="145"/>
      <c r="E62" s="146"/>
      <c r="F62" s="147"/>
      <c r="G62" s="148"/>
      <c r="H62" s="185"/>
      <c r="I62" s="186"/>
      <c r="J62" s="405"/>
      <c r="K62" s="149"/>
      <c r="L62" s="230"/>
      <c r="M62" s="150"/>
    </row>
    <row r="63" spans="1:13" ht="14.5" x14ac:dyDescent="0.35">
      <c r="A63" s="143"/>
      <c r="B63" s="137"/>
      <c r="C63" s="144"/>
      <c r="D63" s="145"/>
      <c r="E63" s="146"/>
      <c r="F63" s="147"/>
      <c r="G63" s="148"/>
      <c r="H63" s="185"/>
      <c r="I63" s="186"/>
      <c r="J63" s="405"/>
      <c r="K63" s="149"/>
      <c r="L63" s="230"/>
      <c r="M63" s="150"/>
    </row>
    <row r="64" spans="1:13" ht="14.5" x14ac:dyDescent="0.35">
      <c r="A64" s="143"/>
      <c r="B64" s="137"/>
      <c r="C64" s="144"/>
      <c r="D64" s="145"/>
      <c r="E64" s="146"/>
      <c r="F64" s="147"/>
      <c r="G64" s="148"/>
      <c r="H64" s="185"/>
      <c r="I64" s="186"/>
      <c r="J64" s="405"/>
      <c r="K64" s="149"/>
      <c r="L64" s="230"/>
      <c r="M64" s="150"/>
    </row>
    <row r="65" spans="1:13" ht="14.5" x14ac:dyDescent="0.35">
      <c r="A65" s="143"/>
      <c r="B65" s="137"/>
      <c r="C65" s="144"/>
      <c r="D65" s="145"/>
      <c r="E65" s="146"/>
      <c r="F65" s="147"/>
      <c r="G65" s="148"/>
      <c r="H65" s="185"/>
      <c r="I65" s="186"/>
      <c r="J65" s="405"/>
      <c r="K65" s="149"/>
      <c r="L65" s="230"/>
      <c r="M65" s="150"/>
    </row>
    <row r="66" spans="1:13" ht="14.5" x14ac:dyDescent="0.35">
      <c r="A66" s="143"/>
      <c r="B66" s="137"/>
      <c r="C66" s="144"/>
      <c r="D66" s="145"/>
      <c r="E66" s="146"/>
      <c r="F66" s="147"/>
      <c r="G66" s="148"/>
      <c r="H66" s="185"/>
      <c r="I66" s="186"/>
      <c r="J66" s="405"/>
      <c r="K66" s="149"/>
      <c r="L66" s="230"/>
      <c r="M66" s="150"/>
    </row>
    <row r="67" spans="1:13" ht="14.5" x14ac:dyDescent="0.35">
      <c r="A67" s="143"/>
      <c r="B67" s="137"/>
      <c r="C67" s="144"/>
      <c r="D67" s="145"/>
      <c r="E67" s="146"/>
      <c r="F67" s="147"/>
      <c r="G67" s="148"/>
      <c r="H67" s="185"/>
      <c r="I67" s="186"/>
      <c r="J67" s="405"/>
      <c r="K67" s="149"/>
      <c r="L67" s="230"/>
      <c r="M67" s="150"/>
    </row>
    <row r="68" spans="1:13" ht="14.5" x14ac:dyDescent="0.35">
      <c r="A68" s="143"/>
      <c r="B68" s="137"/>
      <c r="C68" s="144"/>
      <c r="D68" s="145"/>
      <c r="E68" s="146"/>
      <c r="F68" s="147"/>
      <c r="G68" s="148"/>
      <c r="H68" s="185"/>
      <c r="I68" s="186"/>
      <c r="J68" s="405"/>
      <c r="K68" s="149"/>
      <c r="L68" s="230"/>
      <c r="M68" s="150"/>
    </row>
    <row r="69" spans="1:13" ht="14.5" x14ac:dyDescent="0.35">
      <c r="A69" s="143"/>
      <c r="B69" s="137"/>
      <c r="C69" s="144"/>
      <c r="D69" s="145"/>
      <c r="E69" s="146"/>
      <c r="F69" s="147"/>
      <c r="G69" s="148"/>
      <c r="H69" s="185"/>
      <c r="I69" s="186"/>
      <c r="J69" s="405"/>
      <c r="K69" s="149"/>
      <c r="L69" s="230"/>
      <c r="M69" s="150"/>
    </row>
    <row r="70" spans="1:13" ht="14.5" x14ac:dyDescent="0.35">
      <c r="A70" s="143"/>
      <c r="B70" s="137"/>
      <c r="C70" s="144"/>
      <c r="D70" s="145"/>
      <c r="E70" s="146"/>
      <c r="F70" s="147"/>
      <c r="G70" s="148"/>
      <c r="H70" s="185"/>
      <c r="I70" s="186"/>
      <c r="J70" s="405"/>
      <c r="K70" s="149"/>
      <c r="L70" s="230"/>
      <c r="M70" s="150"/>
    </row>
    <row r="71" spans="1:13" ht="14.5" x14ac:dyDescent="0.35">
      <c r="A71" s="143"/>
      <c r="B71" s="137"/>
      <c r="C71" s="144"/>
      <c r="D71" s="145"/>
      <c r="E71" s="146"/>
      <c r="F71" s="147"/>
      <c r="G71" s="148"/>
      <c r="H71" s="185"/>
      <c r="I71" s="186"/>
      <c r="J71" s="405"/>
      <c r="K71" s="149"/>
      <c r="L71" s="230"/>
      <c r="M71" s="150"/>
    </row>
    <row r="72" spans="1:13" ht="14.5" x14ac:dyDescent="0.35">
      <c r="A72" s="143"/>
      <c r="B72" s="137"/>
      <c r="C72" s="144"/>
      <c r="D72" s="145"/>
      <c r="E72" s="146"/>
      <c r="F72" s="147"/>
      <c r="G72" s="148"/>
      <c r="H72" s="185"/>
      <c r="I72" s="186"/>
      <c r="J72" s="405"/>
      <c r="K72" s="149"/>
      <c r="L72" s="230"/>
      <c r="M72" s="150"/>
    </row>
    <row r="73" spans="1:13" ht="14.5" x14ac:dyDescent="0.35">
      <c r="A73" s="143"/>
      <c r="B73" s="137"/>
      <c r="C73" s="144"/>
      <c r="D73" s="145"/>
      <c r="E73" s="146"/>
      <c r="F73" s="147"/>
      <c r="G73" s="148"/>
      <c r="H73" s="185"/>
      <c r="I73" s="186"/>
      <c r="J73" s="405"/>
      <c r="K73" s="149"/>
      <c r="L73" s="230"/>
      <c r="M73" s="150"/>
    </row>
    <row r="74" spans="1:13" ht="14.5" x14ac:dyDescent="0.35">
      <c r="A74" s="143"/>
      <c r="B74" s="137"/>
      <c r="C74" s="144"/>
      <c r="D74" s="145"/>
      <c r="E74" s="146"/>
      <c r="F74" s="147"/>
      <c r="G74" s="148"/>
      <c r="H74" s="185"/>
      <c r="I74" s="186"/>
      <c r="J74" s="405"/>
      <c r="K74" s="149"/>
      <c r="L74" s="230"/>
      <c r="M74" s="150"/>
    </row>
    <row r="75" spans="1:13" ht="14.5" x14ac:dyDescent="0.35">
      <c r="A75" s="143"/>
      <c r="B75" s="137"/>
      <c r="C75" s="144"/>
      <c r="D75" s="145"/>
      <c r="E75" s="146"/>
      <c r="F75" s="147"/>
      <c r="G75" s="148"/>
      <c r="H75" s="185"/>
      <c r="I75" s="186"/>
      <c r="J75" s="405"/>
      <c r="K75" s="149"/>
      <c r="L75" s="230"/>
      <c r="M75" s="150"/>
    </row>
    <row r="76" spans="1:13" ht="14.5" x14ac:dyDescent="0.35">
      <c r="A76" s="143"/>
      <c r="B76" s="137"/>
      <c r="C76" s="144"/>
      <c r="D76" s="145"/>
      <c r="E76" s="146"/>
      <c r="F76" s="147"/>
      <c r="G76" s="148"/>
      <c r="H76" s="185"/>
      <c r="I76" s="186"/>
      <c r="J76" s="405"/>
      <c r="K76" s="149"/>
      <c r="L76" s="230"/>
      <c r="M76" s="150"/>
    </row>
    <row r="77" spans="1:13" ht="14.5" x14ac:dyDescent="0.35">
      <c r="A77" s="143"/>
      <c r="B77" s="137"/>
      <c r="C77" s="144"/>
      <c r="D77" s="145"/>
      <c r="E77" s="146"/>
      <c r="F77" s="147"/>
      <c r="G77" s="148"/>
      <c r="H77" s="185"/>
      <c r="I77" s="186"/>
      <c r="J77" s="405"/>
      <c r="K77" s="149"/>
      <c r="L77" s="230"/>
      <c r="M77" s="150"/>
    </row>
    <row r="78" spans="1:13" ht="14.5" x14ac:dyDescent="0.35">
      <c r="A78" s="143"/>
      <c r="B78" s="137"/>
      <c r="C78" s="144"/>
      <c r="D78" s="145"/>
      <c r="E78" s="146"/>
      <c r="F78" s="147"/>
      <c r="G78" s="148"/>
      <c r="H78" s="185"/>
      <c r="I78" s="186"/>
      <c r="J78" s="405"/>
      <c r="K78" s="149"/>
      <c r="L78" s="230"/>
      <c r="M78" s="150"/>
    </row>
    <row r="79" spans="1:13" ht="14.5" x14ac:dyDescent="0.35">
      <c r="A79" s="143"/>
      <c r="B79" s="137"/>
      <c r="C79" s="144"/>
      <c r="D79" s="145"/>
      <c r="E79" s="146"/>
      <c r="F79" s="147"/>
      <c r="G79" s="148"/>
      <c r="H79" s="185"/>
      <c r="I79" s="186"/>
      <c r="J79" s="405"/>
      <c r="K79" s="149"/>
      <c r="L79" s="230"/>
      <c r="M79" s="150"/>
    </row>
    <row r="80" spans="1:13" ht="14.5" x14ac:dyDescent="0.35">
      <c r="A80" s="143"/>
      <c r="B80" s="137"/>
      <c r="C80" s="144"/>
      <c r="D80" s="145"/>
      <c r="E80" s="146"/>
      <c r="F80" s="147"/>
      <c r="G80" s="148"/>
      <c r="H80" s="185"/>
      <c r="I80" s="186"/>
      <c r="J80" s="405"/>
      <c r="K80" s="149"/>
      <c r="L80" s="230"/>
      <c r="M80" s="150"/>
    </row>
    <row r="81" spans="1:13" ht="14.5" x14ac:dyDescent="0.35">
      <c r="A81" s="143"/>
      <c r="B81" s="137"/>
      <c r="C81" s="144"/>
      <c r="D81" s="145"/>
      <c r="E81" s="146"/>
      <c r="F81" s="147"/>
      <c r="G81" s="148"/>
      <c r="H81" s="185"/>
      <c r="I81" s="186"/>
      <c r="J81" s="405"/>
      <c r="K81" s="149"/>
      <c r="L81" s="230"/>
      <c r="M81" s="150"/>
    </row>
    <row r="82" spans="1:13" ht="14.5" x14ac:dyDescent="0.35">
      <c r="A82" s="143"/>
      <c r="B82" s="137"/>
      <c r="C82" s="144"/>
      <c r="D82" s="145"/>
      <c r="E82" s="146"/>
      <c r="F82" s="147"/>
      <c r="G82" s="148"/>
      <c r="H82" s="185"/>
      <c r="I82" s="186"/>
      <c r="J82" s="405"/>
      <c r="K82" s="149"/>
      <c r="L82" s="230"/>
      <c r="M82" s="150"/>
    </row>
    <row r="83" spans="1:13" ht="14.5" x14ac:dyDescent="0.35">
      <c r="A83" s="143"/>
      <c r="B83" s="137"/>
      <c r="C83" s="144"/>
      <c r="D83" s="145"/>
      <c r="E83" s="146"/>
      <c r="F83" s="147"/>
      <c r="G83" s="148"/>
      <c r="H83" s="185"/>
      <c r="I83" s="186"/>
      <c r="J83" s="405"/>
      <c r="K83" s="149"/>
      <c r="L83" s="230"/>
      <c r="M83" s="150"/>
    </row>
    <row r="84" spans="1:13" ht="14.5" x14ac:dyDescent="0.35">
      <c r="A84" s="143"/>
      <c r="B84" s="137"/>
      <c r="C84" s="144"/>
      <c r="D84" s="145"/>
      <c r="E84" s="146"/>
      <c r="F84" s="147"/>
      <c r="G84" s="148"/>
      <c r="H84" s="185"/>
      <c r="I84" s="186"/>
      <c r="J84" s="405"/>
      <c r="K84" s="149"/>
      <c r="L84" s="230"/>
      <c r="M84" s="150"/>
    </row>
    <row r="85" spans="1:13" ht="14.5" x14ac:dyDescent="0.35">
      <c r="A85" s="143"/>
      <c r="B85" s="137"/>
      <c r="C85" s="144"/>
      <c r="D85" s="145"/>
      <c r="E85" s="146"/>
      <c r="F85" s="147"/>
      <c r="G85" s="148"/>
      <c r="H85" s="185"/>
      <c r="I85" s="186"/>
      <c r="J85" s="405"/>
      <c r="K85" s="149"/>
      <c r="L85" s="230"/>
      <c r="M85" s="150"/>
    </row>
    <row r="86" spans="1:13" ht="14.5" x14ac:dyDescent="0.35">
      <c r="A86" s="143"/>
      <c r="B86" s="137"/>
      <c r="C86" s="144"/>
      <c r="D86" s="145"/>
      <c r="E86" s="146"/>
      <c r="F86" s="147"/>
      <c r="G86" s="148"/>
      <c r="H86" s="185"/>
      <c r="I86" s="186"/>
      <c r="J86" s="405"/>
      <c r="K86" s="149"/>
      <c r="L86" s="230"/>
      <c r="M86" s="150"/>
    </row>
    <row r="87" spans="1:13" ht="14.5" x14ac:dyDescent="0.35">
      <c r="A87" s="143"/>
      <c r="B87" s="137"/>
      <c r="C87" s="144"/>
      <c r="D87" s="145"/>
      <c r="E87" s="146"/>
      <c r="F87" s="147"/>
      <c r="G87" s="148"/>
      <c r="H87" s="185"/>
      <c r="I87" s="186"/>
      <c r="J87" s="405"/>
      <c r="K87" s="149"/>
      <c r="L87" s="230"/>
      <c r="M87" s="150"/>
    </row>
    <row r="88" spans="1:13" ht="14.5" x14ac:dyDescent="0.35">
      <c r="A88" s="143"/>
      <c r="B88" s="137"/>
      <c r="C88" s="144"/>
      <c r="D88" s="145"/>
      <c r="E88" s="146"/>
      <c r="F88" s="147"/>
      <c r="G88" s="148"/>
      <c r="H88" s="185"/>
      <c r="I88" s="186"/>
      <c r="J88" s="405"/>
      <c r="K88" s="149"/>
      <c r="L88" s="230"/>
      <c r="M88" s="150"/>
    </row>
    <row r="89" spans="1:13" ht="14.5" x14ac:dyDescent="0.35">
      <c r="A89" s="143"/>
      <c r="B89" s="137"/>
      <c r="C89" s="144"/>
      <c r="D89" s="145"/>
      <c r="E89" s="146"/>
      <c r="F89" s="147"/>
      <c r="G89" s="148"/>
      <c r="H89" s="185"/>
      <c r="I89" s="186"/>
      <c r="J89" s="405"/>
      <c r="K89" s="149"/>
      <c r="L89" s="230"/>
      <c r="M89" s="150"/>
    </row>
    <row r="90" spans="1:13" ht="14.5" x14ac:dyDescent="0.35">
      <c r="A90" s="143"/>
      <c r="B90" s="137"/>
      <c r="C90" s="144"/>
      <c r="D90" s="145"/>
      <c r="E90" s="146"/>
      <c r="F90" s="147"/>
      <c r="G90" s="148"/>
      <c r="H90" s="185"/>
      <c r="I90" s="186"/>
      <c r="J90" s="405"/>
      <c r="K90" s="149"/>
      <c r="L90" s="230"/>
      <c r="M90" s="150"/>
    </row>
    <row r="91" spans="1:13" ht="14.5" x14ac:dyDescent="0.35">
      <c r="A91" s="143"/>
      <c r="B91" s="137"/>
      <c r="C91" s="144"/>
      <c r="D91" s="145"/>
      <c r="E91" s="146"/>
      <c r="F91" s="147"/>
      <c r="G91" s="148"/>
      <c r="H91" s="185"/>
      <c r="I91" s="186"/>
      <c r="J91" s="405"/>
      <c r="K91" s="149"/>
      <c r="L91" s="230"/>
      <c r="M91" s="150"/>
    </row>
    <row r="92" spans="1:13" ht="14.5" x14ac:dyDescent="0.35">
      <c r="A92" s="143"/>
      <c r="B92" s="137"/>
      <c r="C92" s="144"/>
      <c r="D92" s="145"/>
      <c r="E92" s="146"/>
      <c r="F92" s="147"/>
      <c r="G92" s="148"/>
      <c r="H92" s="185"/>
      <c r="I92" s="186"/>
      <c r="J92" s="405"/>
      <c r="K92" s="149"/>
      <c r="L92" s="230"/>
      <c r="M92" s="150"/>
    </row>
    <row r="93" spans="1:13" ht="14.5" x14ac:dyDescent="0.35">
      <c r="A93" s="143"/>
      <c r="B93" s="137"/>
      <c r="C93" s="144"/>
      <c r="D93" s="145"/>
      <c r="E93" s="146"/>
      <c r="F93" s="147"/>
      <c r="G93" s="148"/>
      <c r="H93" s="185"/>
      <c r="I93" s="186"/>
      <c r="J93" s="405"/>
      <c r="K93" s="149"/>
      <c r="L93" s="230"/>
      <c r="M93" s="150"/>
    </row>
    <row r="94" spans="1:13" ht="14.5" x14ac:dyDescent="0.35">
      <c r="A94" s="143"/>
      <c r="B94" s="137"/>
      <c r="C94" s="144"/>
      <c r="D94" s="145"/>
      <c r="E94" s="146"/>
      <c r="F94" s="147"/>
      <c r="G94" s="148"/>
      <c r="H94" s="185"/>
      <c r="I94" s="186"/>
      <c r="J94" s="405"/>
      <c r="K94" s="149"/>
      <c r="L94" s="230"/>
      <c r="M94" s="150"/>
    </row>
    <row r="95" spans="1:13" ht="14.5" x14ac:dyDescent="0.35">
      <c r="A95" s="143"/>
      <c r="B95" s="137"/>
      <c r="C95" s="144"/>
      <c r="D95" s="145"/>
      <c r="E95" s="146"/>
      <c r="F95" s="147"/>
      <c r="G95" s="148"/>
      <c r="H95" s="185"/>
      <c r="I95" s="186"/>
      <c r="J95" s="405"/>
      <c r="K95" s="149"/>
      <c r="L95" s="230"/>
      <c r="M95" s="150"/>
    </row>
    <row r="96" spans="1:13" ht="14.5" x14ac:dyDescent="0.35">
      <c r="A96" s="143"/>
      <c r="B96" s="137"/>
      <c r="C96" s="144"/>
      <c r="D96" s="145"/>
      <c r="E96" s="146"/>
      <c r="F96" s="147"/>
      <c r="G96" s="148"/>
      <c r="H96" s="185"/>
      <c r="I96" s="186"/>
      <c r="J96" s="405"/>
      <c r="K96" s="149"/>
      <c r="L96" s="230"/>
      <c r="M96" s="150"/>
    </row>
    <row r="97" spans="1:13" ht="14.5" x14ac:dyDescent="0.35">
      <c r="A97" s="143"/>
      <c r="B97" s="137"/>
      <c r="C97" s="144"/>
      <c r="D97" s="145"/>
      <c r="E97" s="146"/>
      <c r="F97" s="147"/>
      <c r="G97" s="148"/>
      <c r="H97" s="185"/>
      <c r="I97" s="186"/>
      <c r="J97" s="405"/>
      <c r="K97" s="149"/>
      <c r="L97" s="230"/>
      <c r="M97" s="150"/>
    </row>
    <row r="98" spans="1:13" ht="14.5" x14ac:dyDescent="0.35">
      <c r="A98" s="143"/>
      <c r="B98" s="137"/>
      <c r="C98" s="144"/>
      <c r="D98" s="145"/>
      <c r="E98" s="146"/>
      <c r="F98" s="147"/>
      <c r="G98" s="148"/>
      <c r="H98" s="185"/>
      <c r="I98" s="186"/>
      <c r="J98" s="405"/>
      <c r="K98" s="149"/>
      <c r="L98" s="230"/>
      <c r="M98" s="150"/>
    </row>
    <row r="99" spans="1:13" ht="14.5" x14ac:dyDescent="0.35">
      <c r="A99" s="143"/>
      <c r="B99" s="137"/>
      <c r="C99" s="144"/>
      <c r="D99" s="145"/>
      <c r="E99" s="146"/>
      <c r="F99" s="147"/>
      <c r="G99" s="148"/>
      <c r="H99" s="185"/>
      <c r="I99" s="186"/>
      <c r="J99" s="405"/>
      <c r="K99" s="149"/>
      <c r="L99" s="230"/>
      <c r="M99" s="150"/>
    </row>
    <row r="100" spans="1:13" ht="14.5" x14ac:dyDescent="0.35">
      <c r="A100" s="143"/>
      <c r="B100" s="137"/>
      <c r="C100" s="144"/>
      <c r="D100" s="145"/>
      <c r="E100" s="146"/>
      <c r="F100" s="147"/>
      <c r="G100" s="148"/>
      <c r="H100" s="185"/>
      <c r="I100" s="186"/>
      <c r="J100" s="405"/>
      <c r="K100" s="149"/>
      <c r="L100" s="230"/>
      <c r="M100" s="150"/>
    </row>
    <row r="101" spans="1:13" ht="14.5" x14ac:dyDescent="0.35">
      <c r="A101" s="143"/>
      <c r="B101" s="137"/>
      <c r="C101" s="144"/>
      <c r="D101" s="145"/>
      <c r="E101" s="146"/>
      <c r="F101" s="147"/>
      <c r="G101" s="148"/>
      <c r="H101" s="185"/>
      <c r="I101" s="186"/>
      <c r="J101" s="405"/>
      <c r="K101" s="149"/>
      <c r="L101" s="230"/>
      <c r="M101" s="150"/>
    </row>
    <row r="102" spans="1:13" ht="14.5" x14ac:dyDescent="0.35">
      <c r="A102" s="143"/>
      <c r="B102" s="137"/>
      <c r="C102" s="144"/>
      <c r="D102" s="145"/>
      <c r="E102" s="146"/>
      <c r="F102" s="147"/>
      <c r="G102" s="148"/>
      <c r="H102" s="185"/>
      <c r="I102" s="186"/>
      <c r="J102" s="405"/>
      <c r="K102" s="149"/>
      <c r="L102" s="230"/>
      <c r="M102" s="150"/>
    </row>
    <row r="103" spans="1:13" ht="14.5" x14ac:dyDescent="0.35">
      <c r="A103" s="143"/>
      <c r="B103" s="137"/>
      <c r="C103" s="144"/>
      <c r="D103" s="145"/>
      <c r="E103" s="146"/>
      <c r="F103" s="147"/>
      <c r="G103" s="148"/>
      <c r="H103" s="185"/>
      <c r="I103" s="186"/>
      <c r="J103" s="405"/>
      <c r="K103" s="149"/>
      <c r="L103" s="230"/>
      <c r="M103" s="150"/>
    </row>
    <row r="104" spans="1:13" ht="14.5" x14ac:dyDescent="0.35">
      <c r="A104" s="143"/>
      <c r="B104" s="137"/>
      <c r="C104" s="144"/>
      <c r="D104" s="145"/>
      <c r="E104" s="146"/>
      <c r="F104" s="147"/>
      <c r="G104" s="148"/>
      <c r="H104" s="185"/>
      <c r="I104" s="186"/>
      <c r="J104" s="405"/>
      <c r="K104" s="149"/>
      <c r="L104" s="230"/>
      <c r="M104" s="150"/>
    </row>
    <row r="105" spans="1:13" ht="14.5" x14ac:dyDescent="0.35">
      <c r="A105" s="143"/>
      <c r="B105" s="137"/>
      <c r="C105" s="144"/>
      <c r="D105" s="145"/>
      <c r="E105" s="146"/>
      <c r="F105" s="147"/>
      <c r="G105" s="148"/>
      <c r="H105" s="185"/>
      <c r="I105" s="186"/>
      <c r="J105" s="405"/>
      <c r="K105" s="149"/>
      <c r="L105" s="230"/>
      <c r="M105" s="150"/>
    </row>
    <row r="106" spans="1:13" ht="14.5" x14ac:dyDescent="0.35">
      <c r="A106" s="143"/>
      <c r="B106" s="137"/>
      <c r="C106" s="144"/>
      <c r="D106" s="145"/>
      <c r="E106" s="146"/>
      <c r="F106" s="147"/>
      <c r="G106" s="148"/>
      <c r="H106" s="185"/>
      <c r="I106" s="186"/>
      <c r="J106" s="405"/>
      <c r="K106" s="149"/>
      <c r="L106" s="230"/>
      <c r="M106" s="150"/>
    </row>
    <row r="107" spans="1:13" ht="14.5" x14ac:dyDescent="0.35">
      <c r="A107" s="143"/>
      <c r="B107" s="137"/>
      <c r="C107" s="144"/>
      <c r="D107" s="145"/>
      <c r="E107" s="146"/>
      <c r="F107" s="147"/>
      <c r="G107" s="148"/>
      <c r="H107" s="185"/>
      <c r="I107" s="186"/>
      <c r="J107" s="405"/>
      <c r="K107" s="149"/>
      <c r="L107" s="230"/>
      <c r="M107" s="150"/>
    </row>
    <row r="108" spans="1:13" ht="14.5" x14ac:dyDescent="0.35">
      <c r="A108" s="143"/>
      <c r="B108" s="137"/>
      <c r="C108" s="144"/>
      <c r="D108" s="145"/>
      <c r="E108" s="146"/>
      <c r="F108" s="147"/>
      <c r="G108" s="148"/>
      <c r="H108" s="185"/>
      <c r="I108" s="186"/>
      <c r="J108" s="405"/>
      <c r="K108" s="149"/>
      <c r="L108" s="230"/>
      <c r="M108" s="150"/>
    </row>
    <row r="109" spans="1:13" ht="14.5" x14ac:dyDescent="0.35">
      <c r="A109" s="143"/>
      <c r="B109" s="137"/>
      <c r="C109" s="144"/>
      <c r="D109" s="145"/>
      <c r="E109" s="146"/>
      <c r="F109" s="147"/>
      <c r="G109" s="148"/>
      <c r="H109" s="185"/>
      <c r="I109" s="186"/>
      <c r="J109" s="405"/>
      <c r="K109" s="149"/>
      <c r="L109" s="230"/>
      <c r="M109" s="150"/>
    </row>
    <row r="110" spans="1:13" ht="14.5" x14ac:dyDescent="0.35">
      <c r="A110" s="143"/>
      <c r="B110" s="137"/>
      <c r="C110" s="144"/>
      <c r="D110" s="145"/>
      <c r="E110" s="146"/>
      <c r="F110" s="147"/>
      <c r="G110" s="148"/>
      <c r="H110" s="185"/>
      <c r="I110" s="186"/>
      <c r="J110" s="405"/>
      <c r="K110" s="149"/>
      <c r="L110" s="230"/>
      <c r="M110" s="150"/>
    </row>
    <row r="111" spans="1:13" ht="14.5" x14ac:dyDescent="0.35">
      <c r="A111" s="143"/>
      <c r="B111" s="137"/>
      <c r="C111" s="144"/>
      <c r="D111" s="145"/>
      <c r="E111" s="146"/>
      <c r="F111" s="147"/>
      <c r="G111" s="148"/>
      <c r="H111" s="185"/>
      <c r="I111" s="186"/>
      <c r="J111" s="405"/>
      <c r="K111" s="149"/>
      <c r="L111" s="230"/>
      <c r="M111" s="150"/>
    </row>
    <row r="112" spans="1:13" ht="14.5" x14ac:dyDescent="0.35">
      <c r="A112" s="143"/>
      <c r="B112" s="137"/>
      <c r="C112" s="144"/>
      <c r="D112" s="145"/>
      <c r="E112" s="146"/>
      <c r="F112" s="147"/>
      <c r="G112" s="148"/>
      <c r="H112" s="185"/>
      <c r="I112" s="186"/>
      <c r="J112" s="405"/>
      <c r="K112" s="149"/>
      <c r="L112" s="230"/>
      <c r="M112" s="150"/>
    </row>
    <row r="113" spans="1:13" ht="14.5" x14ac:dyDescent="0.35">
      <c r="A113" s="143"/>
      <c r="B113" s="137"/>
      <c r="C113" s="144"/>
      <c r="D113" s="145"/>
      <c r="E113" s="146"/>
      <c r="F113" s="147"/>
      <c r="G113" s="148"/>
      <c r="H113" s="185"/>
      <c r="I113" s="186"/>
      <c r="J113" s="405"/>
      <c r="K113" s="149"/>
      <c r="L113" s="230"/>
      <c r="M113" s="150"/>
    </row>
    <row r="114" spans="1:13" ht="14.5" x14ac:dyDescent="0.35">
      <c r="A114" s="143"/>
      <c r="B114" s="137"/>
      <c r="C114" s="144"/>
      <c r="D114" s="145"/>
      <c r="E114" s="146"/>
      <c r="F114" s="147"/>
      <c r="G114" s="148"/>
      <c r="H114" s="185"/>
      <c r="I114" s="186"/>
      <c r="J114" s="405"/>
      <c r="K114" s="149"/>
      <c r="L114" s="230"/>
      <c r="M114" s="150"/>
    </row>
    <row r="115" spans="1:13" ht="14.5" x14ac:dyDescent="0.35">
      <c r="A115" s="143"/>
      <c r="B115" s="137"/>
      <c r="C115" s="144"/>
      <c r="D115" s="145"/>
      <c r="E115" s="146"/>
      <c r="F115" s="147"/>
      <c r="G115" s="148"/>
      <c r="H115" s="185"/>
      <c r="I115" s="186"/>
      <c r="J115" s="405"/>
      <c r="K115" s="149"/>
      <c r="L115" s="230"/>
      <c r="M115" s="150"/>
    </row>
    <row r="116" spans="1:13" ht="14.5" x14ac:dyDescent="0.35">
      <c r="A116" s="143"/>
      <c r="B116" s="137"/>
      <c r="C116" s="144"/>
      <c r="D116" s="145"/>
      <c r="E116" s="146"/>
      <c r="F116" s="147"/>
      <c r="G116" s="148"/>
      <c r="H116" s="185"/>
      <c r="I116" s="186"/>
      <c r="J116" s="405"/>
      <c r="K116" s="149"/>
      <c r="L116" s="230"/>
      <c r="M116" s="150"/>
    </row>
    <row r="117" spans="1:13" ht="14.5" x14ac:dyDescent="0.35">
      <c r="A117" s="143"/>
      <c r="B117" s="137"/>
      <c r="C117" s="144"/>
      <c r="D117" s="145"/>
      <c r="E117" s="146"/>
      <c r="F117" s="147"/>
      <c r="G117" s="148"/>
      <c r="H117" s="185"/>
      <c r="I117" s="186"/>
      <c r="J117" s="405"/>
      <c r="K117" s="149"/>
      <c r="L117" s="230"/>
      <c r="M117" s="150"/>
    </row>
    <row r="118" spans="1:13" ht="14.5" x14ac:dyDescent="0.35">
      <c r="A118" s="143"/>
      <c r="B118" s="137"/>
      <c r="C118" s="144"/>
      <c r="D118" s="145"/>
      <c r="E118" s="146"/>
      <c r="F118" s="147"/>
      <c r="G118" s="148"/>
      <c r="H118" s="185"/>
      <c r="I118" s="186"/>
      <c r="J118" s="405"/>
      <c r="K118" s="149"/>
      <c r="L118" s="230"/>
      <c r="M118" s="150"/>
    </row>
    <row r="119" spans="1:13" ht="14.5" x14ac:dyDescent="0.35">
      <c r="A119" s="143"/>
      <c r="B119" s="137"/>
      <c r="C119" s="144"/>
      <c r="D119" s="145"/>
      <c r="E119" s="146"/>
      <c r="F119" s="147"/>
      <c r="G119" s="148"/>
      <c r="H119" s="185"/>
      <c r="I119" s="186"/>
      <c r="J119" s="405"/>
      <c r="K119" s="149"/>
      <c r="L119" s="230"/>
      <c r="M119" s="150"/>
    </row>
    <row r="120" spans="1:13" ht="14.5" x14ac:dyDescent="0.35">
      <c r="A120" s="143"/>
      <c r="B120" s="137"/>
      <c r="C120" s="144"/>
      <c r="D120" s="145"/>
      <c r="E120" s="146"/>
      <c r="F120" s="147"/>
      <c r="G120" s="148"/>
      <c r="H120" s="185"/>
      <c r="I120" s="186"/>
      <c r="J120" s="405"/>
      <c r="K120" s="149"/>
      <c r="L120" s="230"/>
      <c r="M120" s="150"/>
    </row>
    <row r="121" spans="1:13" ht="14.5" x14ac:dyDescent="0.35">
      <c r="A121" s="143"/>
      <c r="B121" s="137"/>
      <c r="C121" s="144"/>
      <c r="D121" s="145"/>
      <c r="E121" s="146"/>
      <c r="F121" s="147"/>
      <c r="G121" s="148"/>
      <c r="H121" s="185"/>
      <c r="I121" s="186"/>
      <c r="J121" s="405"/>
      <c r="K121" s="149"/>
      <c r="L121" s="230"/>
      <c r="M121" s="150"/>
    </row>
    <row r="122" spans="1:13" ht="14.5" x14ac:dyDescent="0.35">
      <c r="A122" s="143"/>
      <c r="B122" s="137"/>
      <c r="C122" s="144"/>
      <c r="D122" s="145"/>
      <c r="E122" s="146"/>
      <c r="F122" s="147"/>
      <c r="G122" s="148"/>
      <c r="H122" s="185"/>
      <c r="I122" s="186"/>
      <c r="J122" s="405"/>
      <c r="K122" s="149"/>
      <c r="L122" s="230"/>
      <c r="M122" s="150"/>
    </row>
    <row r="123" spans="1:13" ht="14.5" x14ac:dyDescent="0.35">
      <c r="A123" s="143"/>
      <c r="B123" s="137"/>
      <c r="C123" s="144"/>
      <c r="D123" s="145"/>
      <c r="E123" s="146"/>
      <c r="F123" s="147"/>
      <c r="G123" s="148"/>
      <c r="H123" s="185"/>
      <c r="I123" s="186"/>
      <c r="J123" s="405"/>
      <c r="K123" s="149"/>
      <c r="L123" s="230"/>
      <c r="M123" s="150"/>
    </row>
    <row r="124" spans="1:13" ht="14.5" x14ac:dyDescent="0.35">
      <c r="A124" s="143"/>
      <c r="B124" s="137"/>
      <c r="C124" s="144"/>
      <c r="D124" s="145"/>
      <c r="E124" s="146"/>
      <c r="F124" s="147"/>
      <c r="G124" s="148"/>
      <c r="H124" s="185"/>
      <c r="I124" s="186"/>
      <c r="J124" s="405"/>
      <c r="K124" s="149"/>
      <c r="L124" s="230"/>
      <c r="M124" s="150"/>
    </row>
    <row r="125" spans="1:13" ht="14.5" x14ac:dyDescent="0.35">
      <c r="A125" s="143"/>
      <c r="B125" s="137"/>
      <c r="C125" s="144"/>
      <c r="D125" s="145"/>
      <c r="E125" s="146"/>
      <c r="F125" s="147"/>
      <c r="G125" s="148"/>
      <c r="H125" s="185"/>
      <c r="I125" s="186"/>
      <c r="J125" s="405"/>
      <c r="K125" s="149"/>
      <c r="L125" s="230"/>
      <c r="M125" s="150"/>
    </row>
    <row r="126" spans="1:13" ht="14.5" x14ac:dyDescent="0.35">
      <c r="A126" s="143"/>
      <c r="B126" s="137"/>
      <c r="C126" s="144"/>
      <c r="D126" s="145"/>
      <c r="E126" s="146"/>
      <c r="F126" s="147"/>
      <c r="G126" s="148"/>
      <c r="H126" s="185"/>
      <c r="I126" s="186"/>
      <c r="J126" s="405"/>
      <c r="K126" s="149"/>
      <c r="L126" s="230"/>
      <c r="M126" s="150"/>
    </row>
    <row r="127" spans="1:13" ht="14.5" x14ac:dyDescent="0.35">
      <c r="A127" s="143"/>
      <c r="B127" s="137"/>
      <c r="C127" s="144"/>
      <c r="D127" s="145"/>
      <c r="E127" s="146"/>
      <c r="F127" s="147"/>
      <c r="G127" s="148"/>
      <c r="H127" s="185"/>
      <c r="I127" s="186"/>
      <c r="J127" s="405"/>
      <c r="K127" s="149"/>
      <c r="L127" s="230"/>
      <c r="M127" s="150"/>
    </row>
    <row r="128" spans="1:13" ht="14.5" x14ac:dyDescent="0.35">
      <c r="A128" s="143"/>
      <c r="B128" s="137"/>
      <c r="C128" s="144"/>
      <c r="D128" s="145"/>
      <c r="E128" s="146"/>
      <c r="F128" s="147"/>
      <c r="G128" s="148"/>
      <c r="H128" s="185"/>
      <c r="I128" s="186"/>
      <c r="J128" s="405"/>
      <c r="K128" s="149"/>
      <c r="L128" s="230"/>
      <c r="M128" s="150"/>
    </row>
    <row r="129" spans="1:13" ht="14.5" x14ac:dyDescent="0.35">
      <c r="A129" s="143"/>
      <c r="B129" s="137"/>
      <c r="C129" s="144"/>
      <c r="D129" s="145"/>
      <c r="E129" s="146"/>
      <c r="F129" s="147"/>
      <c r="G129" s="148"/>
      <c r="H129" s="185"/>
      <c r="I129" s="186"/>
      <c r="J129" s="405"/>
      <c r="K129" s="149"/>
      <c r="L129" s="230"/>
      <c r="M129" s="150"/>
    </row>
    <row r="130" spans="1:13" ht="14.5" x14ac:dyDescent="0.35">
      <c r="A130" s="143"/>
      <c r="B130" s="137"/>
      <c r="C130" s="144"/>
      <c r="D130" s="145"/>
      <c r="E130" s="146"/>
      <c r="F130" s="147"/>
      <c r="G130" s="148"/>
      <c r="H130" s="185"/>
      <c r="I130" s="186"/>
      <c r="J130" s="405"/>
      <c r="K130" s="149"/>
      <c r="L130" s="230"/>
      <c r="M130" s="150"/>
    </row>
    <row r="131" spans="1:13" ht="14.5" x14ac:dyDescent="0.35">
      <c r="A131" s="143"/>
      <c r="B131" s="137"/>
      <c r="C131" s="144"/>
      <c r="D131" s="145"/>
      <c r="E131" s="146"/>
      <c r="F131" s="147"/>
      <c r="G131" s="148"/>
      <c r="H131" s="185"/>
      <c r="I131" s="186"/>
      <c r="J131" s="405"/>
      <c r="K131" s="149"/>
      <c r="L131" s="230"/>
      <c r="M131" s="150"/>
    </row>
    <row r="132" spans="1:13" ht="14.5" x14ac:dyDescent="0.35">
      <c r="A132" s="143"/>
      <c r="B132" s="137"/>
      <c r="C132" s="144"/>
      <c r="D132" s="145"/>
      <c r="E132" s="146"/>
      <c r="F132" s="147"/>
      <c r="G132" s="148"/>
      <c r="H132" s="185"/>
      <c r="I132" s="186"/>
      <c r="J132" s="405"/>
      <c r="K132" s="149"/>
      <c r="L132" s="230"/>
      <c r="M132" s="150"/>
    </row>
    <row r="133" spans="1:13" ht="14.5" x14ac:dyDescent="0.35">
      <c r="A133" s="143"/>
      <c r="B133" s="137"/>
      <c r="C133" s="144"/>
      <c r="D133" s="145"/>
      <c r="E133" s="146"/>
      <c r="F133" s="147"/>
      <c r="G133" s="148"/>
      <c r="H133" s="185"/>
      <c r="I133" s="186"/>
      <c r="J133" s="405"/>
      <c r="K133" s="149"/>
      <c r="L133" s="230"/>
      <c r="M133" s="150"/>
    </row>
    <row r="134" spans="1:13" ht="14.5" x14ac:dyDescent="0.35">
      <c r="A134" s="143"/>
      <c r="B134" s="137"/>
      <c r="C134" s="144"/>
      <c r="D134" s="145"/>
      <c r="E134" s="146"/>
      <c r="F134" s="147"/>
      <c r="G134" s="148"/>
      <c r="H134" s="185"/>
      <c r="I134" s="186"/>
      <c r="J134" s="405"/>
      <c r="K134" s="149"/>
      <c r="L134" s="230"/>
      <c r="M134" s="150"/>
    </row>
    <row r="135" spans="1:13" ht="14.5" x14ac:dyDescent="0.35">
      <c r="A135" s="143"/>
      <c r="B135" s="137"/>
      <c r="C135" s="144"/>
      <c r="D135" s="145"/>
      <c r="E135" s="146"/>
      <c r="F135" s="147"/>
      <c r="G135" s="148"/>
      <c r="H135" s="185"/>
      <c r="I135" s="186"/>
      <c r="J135" s="405"/>
      <c r="K135" s="149"/>
      <c r="L135" s="230"/>
      <c r="M135" s="150"/>
    </row>
    <row r="136" spans="1:13" ht="14.5" x14ac:dyDescent="0.35">
      <c r="A136" s="143"/>
      <c r="B136" s="137"/>
      <c r="C136" s="144"/>
      <c r="D136" s="145"/>
      <c r="E136" s="146"/>
      <c r="F136" s="147"/>
      <c r="G136" s="148"/>
      <c r="H136" s="185"/>
      <c r="I136" s="186"/>
      <c r="J136" s="405"/>
      <c r="K136" s="149"/>
      <c r="L136" s="230"/>
      <c r="M136" s="150"/>
    </row>
    <row r="137" spans="1:13" ht="14.5" x14ac:dyDescent="0.35">
      <c r="A137" s="143"/>
      <c r="B137" s="137"/>
      <c r="C137" s="144"/>
      <c r="D137" s="145"/>
      <c r="E137" s="146"/>
      <c r="F137" s="147"/>
      <c r="G137" s="148"/>
      <c r="H137" s="185"/>
      <c r="I137" s="186"/>
      <c r="J137" s="405"/>
      <c r="K137" s="149"/>
      <c r="L137" s="230"/>
      <c r="M137" s="150"/>
    </row>
    <row r="138" spans="1:13" ht="14.5" x14ac:dyDescent="0.35">
      <c r="A138" s="143"/>
      <c r="B138" s="137"/>
      <c r="C138" s="144"/>
      <c r="D138" s="145"/>
      <c r="E138" s="146"/>
      <c r="F138" s="147"/>
      <c r="G138" s="148"/>
      <c r="H138" s="185"/>
      <c r="I138" s="186"/>
      <c r="J138" s="405"/>
      <c r="K138" s="149"/>
      <c r="L138" s="230"/>
      <c r="M138" s="150"/>
    </row>
    <row r="139" spans="1:13" ht="14.5" x14ac:dyDescent="0.35">
      <c r="A139" s="143"/>
      <c r="B139" s="137"/>
      <c r="C139" s="144"/>
      <c r="D139" s="145"/>
      <c r="E139" s="146"/>
      <c r="F139" s="147"/>
      <c r="G139" s="148"/>
      <c r="H139" s="185"/>
      <c r="I139" s="186"/>
      <c r="J139" s="405"/>
      <c r="K139" s="149"/>
      <c r="L139" s="230"/>
      <c r="M139" s="150"/>
    </row>
    <row r="140" spans="1:13" ht="14.5" x14ac:dyDescent="0.35">
      <c r="A140" s="143"/>
      <c r="B140" s="137"/>
      <c r="C140" s="144"/>
      <c r="D140" s="145"/>
      <c r="E140" s="146"/>
      <c r="F140" s="147"/>
      <c r="G140" s="148"/>
      <c r="H140" s="185"/>
      <c r="I140" s="186"/>
      <c r="J140" s="405"/>
      <c r="K140" s="149"/>
      <c r="L140" s="230"/>
      <c r="M140" s="150"/>
    </row>
    <row r="141" spans="1:13" ht="14.5" x14ac:dyDescent="0.35">
      <c r="A141" s="143"/>
      <c r="B141" s="137"/>
      <c r="C141" s="144"/>
      <c r="D141" s="145"/>
      <c r="E141" s="146"/>
      <c r="F141" s="147"/>
      <c r="G141" s="148"/>
      <c r="H141" s="185"/>
      <c r="I141" s="186"/>
      <c r="J141" s="405"/>
      <c r="K141" s="149"/>
      <c r="L141" s="230"/>
      <c r="M141" s="150"/>
    </row>
    <row r="142" spans="1:13" ht="14.5" x14ac:dyDescent="0.35">
      <c r="A142" s="143"/>
      <c r="B142" s="137"/>
      <c r="C142" s="144"/>
      <c r="D142" s="145"/>
      <c r="E142" s="146"/>
      <c r="F142" s="147"/>
      <c r="G142" s="148"/>
      <c r="H142" s="185"/>
      <c r="I142" s="186"/>
      <c r="J142" s="405"/>
      <c r="K142" s="149"/>
      <c r="L142" s="230"/>
      <c r="M142" s="150"/>
    </row>
    <row r="143" spans="1:13" ht="14.5" x14ac:dyDescent="0.35">
      <c r="A143" s="143"/>
      <c r="B143" s="137"/>
      <c r="C143" s="144"/>
      <c r="D143" s="145"/>
      <c r="E143" s="146"/>
      <c r="F143" s="147"/>
      <c r="G143" s="148"/>
      <c r="H143" s="185"/>
      <c r="I143" s="186"/>
      <c r="J143" s="405"/>
      <c r="K143" s="149"/>
      <c r="L143" s="230"/>
      <c r="M143" s="150"/>
    </row>
    <row r="144" spans="1:13" ht="14.5" x14ac:dyDescent="0.35">
      <c r="A144" s="143"/>
      <c r="B144" s="137"/>
      <c r="C144" s="144"/>
      <c r="D144" s="145"/>
      <c r="E144" s="146"/>
      <c r="F144" s="147"/>
      <c r="G144" s="148"/>
      <c r="H144" s="185"/>
      <c r="I144" s="186"/>
      <c r="J144" s="405"/>
      <c r="K144" s="149"/>
      <c r="L144" s="230"/>
      <c r="M144" s="150"/>
    </row>
    <row r="145" spans="1:16" ht="14.5" x14ac:dyDescent="0.35">
      <c r="A145" s="143"/>
      <c r="B145" s="137"/>
      <c r="C145" s="144"/>
      <c r="D145" s="145"/>
      <c r="E145" s="146"/>
      <c r="F145" s="147"/>
      <c r="G145" s="148"/>
      <c r="H145" s="185"/>
      <c r="I145" s="186"/>
      <c r="J145" s="405"/>
      <c r="K145" s="149"/>
      <c r="L145" s="230"/>
      <c r="M145" s="150"/>
    </row>
    <row r="146" spans="1:16" ht="14.5" x14ac:dyDescent="0.35">
      <c r="A146" s="143"/>
      <c r="B146" s="137"/>
      <c r="C146" s="144"/>
      <c r="D146" s="145"/>
      <c r="E146" s="146"/>
      <c r="F146" s="147"/>
      <c r="G146" s="148"/>
      <c r="H146" s="185"/>
      <c r="I146" s="186"/>
      <c r="J146" s="405"/>
      <c r="K146" s="149"/>
      <c r="L146" s="230"/>
      <c r="M146" s="150"/>
    </row>
    <row r="147" spans="1:16" ht="14.5" x14ac:dyDescent="0.35">
      <c r="A147" s="143"/>
      <c r="B147" s="137"/>
      <c r="C147" s="144"/>
      <c r="D147" s="145"/>
      <c r="E147" s="146"/>
      <c r="F147" s="147"/>
      <c r="G147" s="148"/>
      <c r="H147" s="185"/>
      <c r="I147" s="186"/>
      <c r="J147" s="405"/>
      <c r="K147" s="149"/>
      <c r="L147" s="230"/>
      <c r="M147" s="150"/>
    </row>
    <row r="148" spans="1:16" ht="14.5" x14ac:dyDescent="0.35">
      <c r="A148" s="143"/>
      <c r="B148" s="137"/>
      <c r="C148" s="144"/>
      <c r="D148" s="145"/>
      <c r="E148" s="146"/>
      <c r="F148" s="147"/>
      <c r="G148" s="148"/>
      <c r="H148" s="185"/>
      <c r="I148" s="186"/>
      <c r="J148" s="405"/>
      <c r="K148" s="149"/>
      <c r="L148" s="230"/>
      <c r="M148" s="150"/>
    </row>
    <row r="149" spans="1:16" ht="14.5" x14ac:dyDescent="0.35">
      <c r="A149" s="143"/>
      <c r="B149" s="137"/>
      <c r="C149" s="144"/>
      <c r="D149" s="145"/>
      <c r="E149" s="146"/>
      <c r="F149" s="147"/>
      <c r="G149" s="148"/>
      <c r="H149" s="185"/>
      <c r="I149" s="186"/>
      <c r="J149" s="405"/>
      <c r="K149" s="149"/>
      <c r="L149" s="230"/>
      <c r="M149" s="150"/>
    </row>
    <row r="150" spans="1:16" ht="14.5" x14ac:dyDescent="0.35">
      <c r="A150" s="143"/>
      <c r="B150" s="137"/>
      <c r="C150" s="144"/>
      <c r="D150" s="145"/>
      <c r="E150" s="146"/>
      <c r="F150" s="147"/>
      <c r="G150" s="148"/>
      <c r="H150" s="185"/>
      <c r="I150" s="186"/>
      <c r="J150" s="405"/>
      <c r="K150" s="149"/>
      <c r="L150" s="230"/>
      <c r="M150" s="150"/>
    </row>
    <row r="151" spans="1:16" x14ac:dyDescent="0.35">
      <c r="A151" s="151" t="s">
        <v>339</v>
      </c>
      <c r="B151" s="152"/>
      <c r="C151" s="135"/>
      <c r="D151" s="153"/>
      <c r="E151" s="135"/>
      <c r="F151" s="388"/>
      <c r="G151" s="152"/>
      <c r="H151" s="152"/>
      <c r="I151" s="151" t="s">
        <v>110</v>
      </c>
      <c r="J151" s="152"/>
      <c r="K151" s="152"/>
      <c r="L151" s="152"/>
      <c r="M151" s="154"/>
    </row>
    <row r="152" spans="1:16" ht="15" customHeight="1" x14ac:dyDescent="0.35">
      <c r="A152" s="155"/>
      <c r="B152" s="156"/>
      <c r="C152" s="156"/>
      <c r="D152" s="157"/>
      <c r="E152" s="156"/>
      <c r="F152" s="108"/>
      <c r="G152" s="619"/>
      <c r="H152" s="620"/>
      <c r="I152" s="621"/>
      <c r="J152" s="619"/>
      <c r="K152" s="619"/>
      <c r="L152" s="619"/>
      <c r="M152" s="620"/>
    </row>
    <row r="153" spans="1:16" s="114" customFormat="1" x14ac:dyDescent="0.35">
      <c r="A153" s="158" t="s">
        <v>111</v>
      </c>
      <c r="B153" s="159"/>
      <c r="C153" s="160" t="s">
        <v>112</v>
      </c>
      <c r="D153" s="161"/>
      <c r="E153" s="162" t="s">
        <v>113</v>
      </c>
      <c r="F153" s="163"/>
      <c r="G153" s="162" t="s">
        <v>114</v>
      </c>
      <c r="H153" s="135"/>
      <c r="I153" s="162" t="s">
        <v>115</v>
      </c>
      <c r="J153" s="135"/>
      <c r="K153" s="135"/>
      <c r="L153" s="135"/>
      <c r="M153" s="164"/>
      <c r="O153" s="101"/>
      <c r="P153" s="101"/>
    </row>
    <row r="154" spans="1:16" ht="15" customHeight="1" x14ac:dyDescent="0.35">
      <c r="A154" s="622" t="e">
        <f>SUM($G$11:$G$150)</f>
        <v>#NUM!</v>
      </c>
      <c r="B154" s="623"/>
      <c r="C154" s="622" t="e">
        <f>SUM($K$11:$K$150)</f>
        <v>#NUM!</v>
      </c>
      <c r="D154" s="623"/>
      <c r="E154" s="621">
        <v>1</v>
      </c>
      <c r="F154" s="620"/>
      <c r="G154" s="621" t="s">
        <v>544</v>
      </c>
      <c r="H154" s="620"/>
      <c r="I154" s="621"/>
      <c r="J154" s="619"/>
      <c r="K154" s="619"/>
      <c r="L154" s="619"/>
      <c r="M154" s="620"/>
    </row>
    <row r="155" spans="1:16" s="114" customFormat="1" x14ac:dyDescent="0.35">
      <c r="A155" s="151" t="s">
        <v>116</v>
      </c>
      <c r="B155" s="154"/>
      <c r="C155" s="162" t="s">
        <v>117</v>
      </c>
      <c r="D155" s="165"/>
      <c r="E155" s="160" t="s">
        <v>118</v>
      </c>
      <c r="G155" s="162" t="s">
        <v>119</v>
      </c>
      <c r="H155" s="135"/>
      <c r="I155" s="135"/>
      <c r="J155" s="135"/>
      <c r="K155" s="152"/>
      <c r="L155" s="152"/>
      <c r="M155" s="154"/>
      <c r="O155" s="101"/>
      <c r="P155" s="101"/>
    </row>
    <row r="156" spans="1:16" ht="15" customHeight="1" x14ac:dyDescent="0.35">
      <c r="A156" s="617" t="e">
        <f>ROUND(SUM(H11:$H$150),1)</f>
        <v>#NUM!</v>
      </c>
      <c r="B156" s="618"/>
      <c r="C156" s="617" t="e">
        <f>ROUND(SUM($I$11:$I$150),1)</f>
        <v>#NUM!</v>
      </c>
      <c r="D156" s="618"/>
      <c r="E156" s="617" t="e">
        <f>C156+E154*IF(G154="80x120",25,20)</f>
        <v>#NUM!</v>
      </c>
      <c r="F156" s="618"/>
      <c r="G156" s="166"/>
      <c r="H156" s="167"/>
      <c r="I156" s="167"/>
      <c r="J156" s="167"/>
      <c r="K156" s="167"/>
      <c r="L156" s="167"/>
      <c r="M156" s="168"/>
    </row>
    <row r="157" spans="1:16" ht="14.15" customHeight="1" x14ac:dyDescent="0.35">
      <c r="A157" s="162" t="s">
        <v>120</v>
      </c>
      <c r="B157" s="135"/>
      <c r="C157" s="135"/>
      <c r="D157" s="135"/>
      <c r="E157" s="169"/>
      <c r="F157" s="100"/>
      <c r="G157" s="170"/>
      <c r="H157" s="171"/>
      <c r="I157" s="171"/>
      <c r="J157" s="171"/>
      <c r="K157" s="172"/>
      <c r="L157" s="172"/>
      <c r="M157" s="173"/>
    </row>
    <row r="158" spans="1:16" ht="14.15" customHeight="1" x14ac:dyDescent="0.35">
      <c r="A158" s="174"/>
      <c r="B158" s="175"/>
      <c r="C158" s="167"/>
      <c r="D158" s="167"/>
      <c r="E158" s="167"/>
      <c r="F158" s="104"/>
      <c r="G158" s="170"/>
      <c r="H158" s="171"/>
      <c r="I158" s="171"/>
      <c r="J158" s="171"/>
      <c r="K158" s="171"/>
      <c r="L158" s="171"/>
      <c r="M158" s="173"/>
    </row>
    <row r="159" spans="1:16" ht="14.15" customHeight="1" x14ac:dyDescent="0.35">
      <c r="A159" s="174"/>
      <c r="B159" s="167"/>
      <c r="C159" s="167"/>
      <c r="D159" s="176"/>
      <c r="E159" s="167"/>
      <c r="F159" s="104"/>
      <c r="G159" s="170"/>
      <c r="H159" s="171"/>
      <c r="I159" s="171"/>
      <c r="J159" s="171"/>
      <c r="K159" s="171"/>
      <c r="L159" s="171"/>
      <c r="M159" s="173"/>
    </row>
    <row r="160" spans="1:16" ht="14.15" customHeight="1" x14ac:dyDescent="0.35">
      <c r="A160" s="155"/>
      <c r="B160" s="156"/>
      <c r="C160" s="156"/>
      <c r="D160" s="157"/>
      <c r="E160" s="156"/>
      <c r="F160" s="111"/>
      <c r="G160" s="177"/>
      <c r="H160" s="178"/>
      <c r="I160" s="178"/>
      <c r="J160" s="178"/>
      <c r="K160" s="178"/>
      <c r="L160" s="178"/>
      <c r="M160" s="179"/>
    </row>
  </sheetData>
  <mergeCells count="22"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  <mergeCell ref="B10:E10"/>
    <mergeCell ref="A1:B1"/>
    <mergeCell ref="A8:B8"/>
    <mergeCell ref="C8:D8"/>
    <mergeCell ref="G8:I8"/>
    <mergeCell ref="K8:M8"/>
    <mergeCell ref="A9:B9"/>
    <mergeCell ref="C9:D9"/>
    <mergeCell ref="E9:F9"/>
    <mergeCell ref="G9:I9"/>
    <mergeCell ref="K9:M9"/>
    <mergeCell ref="E8:F8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topLeftCell="A23" zoomScaleNormal="100" workbookViewId="0">
      <selection activeCell="Q13" sqref="Q13"/>
    </sheetView>
  </sheetViews>
  <sheetFormatPr defaultColWidth="9.1796875" defaultRowHeight="14.5" x14ac:dyDescent="0.35"/>
  <cols>
    <col min="1" max="1" width="8.26953125" style="9" customWidth="1"/>
    <col min="2" max="2" width="30.54296875" style="9" customWidth="1"/>
    <col min="3" max="3" width="20.54296875" style="9" customWidth="1"/>
    <col min="4" max="4" width="10.54296875" style="9" customWidth="1"/>
    <col min="5" max="6" width="8.81640625" style="9" customWidth="1"/>
    <col min="7" max="7" width="15.81640625" style="9" customWidth="1"/>
    <col min="8" max="9" width="16.7265625" style="9" customWidth="1"/>
    <col min="10" max="10" width="5.7265625" style="9" customWidth="1"/>
    <col min="11" max="14" width="9.1796875" style="9"/>
    <col min="15" max="17" width="18.1796875" style="196" customWidth="1"/>
    <col min="18" max="18" width="17.453125" style="196" customWidth="1"/>
    <col min="19" max="19" width="18.81640625" style="196" customWidth="1"/>
    <col min="20" max="21" width="18.453125" style="196" customWidth="1"/>
    <col min="22" max="22" width="13.1796875" style="196" customWidth="1"/>
    <col min="23" max="23" width="19.81640625" style="196" customWidth="1"/>
    <col min="24" max="24" width="13.1796875" style="196" customWidth="1"/>
    <col min="25" max="25" width="19.81640625" style="196" customWidth="1"/>
    <col min="26" max="26" width="13.1796875" style="196" customWidth="1"/>
    <col min="27" max="27" width="15.453125" style="196" customWidth="1"/>
    <col min="28" max="28" width="18.453125" style="196" customWidth="1"/>
    <col min="29" max="29" width="10.1796875" style="9" bestFit="1" customWidth="1"/>
    <col min="30" max="31" width="14.1796875" style="9" bestFit="1" customWidth="1"/>
    <col min="32" max="16384" width="9.1796875" style="9"/>
  </cols>
  <sheetData>
    <row r="1" spans="1:11" ht="20" x14ac:dyDescent="0.4">
      <c r="A1" s="7"/>
      <c r="B1" s="8"/>
      <c r="C1" s="8"/>
      <c r="D1" s="8"/>
      <c r="E1" s="651" t="s">
        <v>121</v>
      </c>
      <c r="F1" s="652"/>
      <c r="G1" s="652"/>
      <c r="H1" s="652"/>
      <c r="I1" s="652"/>
      <c r="J1" s="8"/>
      <c r="K1" s="8"/>
    </row>
    <row r="2" spans="1:11" ht="12.75" customHeight="1" x14ac:dyDescent="0.4">
      <c r="A2" s="7"/>
      <c r="B2" s="8" t="s">
        <v>122</v>
      </c>
      <c r="C2" s="8"/>
      <c r="D2" s="8"/>
      <c r="E2" s="10"/>
      <c r="F2" s="11"/>
      <c r="G2" s="11"/>
      <c r="H2" s="11"/>
      <c r="I2" s="11"/>
      <c r="J2" s="8"/>
      <c r="K2" s="8"/>
    </row>
    <row r="3" spans="1:11" ht="12.75" customHeight="1" x14ac:dyDescent="0.35">
      <c r="A3" s="7"/>
      <c r="B3" s="635" t="s">
        <v>123</v>
      </c>
      <c r="C3" s="631"/>
      <c r="D3" s="632"/>
      <c r="E3" s="635" t="s">
        <v>124</v>
      </c>
      <c r="F3" s="631"/>
      <c r="G3" s="631"/>
      <c r="H3" s="631"/>
      <c r="I3" s="632"/>
      <c r="J3" s="624" t="s">
        <v>125</v>
      </c>
      <c r="K3" s="8"/>
    </row>
    <row r="4" spans="1:11" ht="20.5" x14ac:dyDescent="0.35">
      <c r="A4" s="7"/>
      <c r="B4" s="12" t="s">
        <v>126</v>
      </c>
      <c r="C4" s="13"/>
      <c r="D4" s="14"/>
      <c r="E4" s="627"/>
      <c r="F4" s="628"/>
      <c r="G4" s="628"/>
      <c r="H4" s="628"/>
      <c r="I4" s="629"/>
      <c r="J4" s="624"/>
      <c r="K4" s="8"/>
    </row>
    <row r="5" spans="1:11" ht="20.5" x14ac:dyDescent="0.35">
      <c r="A5" s="7"/>
      <c r="B5" s="12" t="s">
        <v>127</v>
      </c>
      <c r="C5" s="13"/>
      <c r="D5" s="14"/>
      <c r="E5" s="630" t="s">
        <v>128</v>
      </c>
      <c r="F5" s="631"/>
      <c r="G5" s="632"/>
      <c r="H5" s="15" t="s">
        <v>129</v>
      </c>
      <c r="I5" s="16"/>
      <c r="J5" s="624"/>
      <c r="K5" s="8"/>
    </row>
    <row r="6" spans="1:11" ht="20.5" x14ac:dyDescent="0.35">
      <c r="A6" s="7"/>
      <c r="B6" s="12" t="s">
        <v>130</v>
      </c>
      <c r="C6" s="13"/>
      <c r="D6" s="14"/>
      <c r="E6" s="17" t="s">
        <v>131</v>
      </c>
      <c r="F6" s="18">
        <v>1</v>
      </c>
      <c r="G6" s="19" t="s">
        <v>132</v>
      </c>
      <c r="H6" s="633"/>
      <c r="I6" s="634"/>
      <c r="J6" s="624"/>
      <c r="K6" s="8"/>
    </row>
    <row r="7" spans="1:11" ht="20.5" x14ac:dyDescent="0.35">
      <c r="A7" s="7"/>
      <c r="B7" s="12" t="s">
        <v>41</v>
      </c>
      <c r="C7" s="13"/>
      <c r="D7" s="14"/>
      <c r="E7" s="635" t="s">
        <v>133</v>
      </c>
      <c r="F7" s="631"/>
      <c r="G7" s="632"/>
      <c r="H7" s="15" t="s">
        <v>134</v>
      </c>
      <c r="I7" s="16"/>
      <c r="J7" s="624"/>
      <c r="K7" s="8"/>
    </row>
    <row r="8" spans="1:11" x14ac:dyDescent="0.35">
      <c r="A8" s="7"/>
      <c r="B8" s="635" t="s">
        <v>135</v>
      </c>
      <c r="C8" s="631"/>
      <c r="D8" s="632"/>
      <c r="E8" s="635" t="s">
        <v>136</v>
      </c>
      <c r="F8" s="631"/>
      <c r="G8" s="631"/>
      <c r="H8" s="631"/>
      <c r="I8" s="632"/>
      <c r="J8" s="624"/>
      <c r="K8" s="8"/>
    </row>
    <row r="9" spans="1:11" ht="20.5" x14ac:dyDescent="0.35">
      <c r="A9" s="7"/>
      <c r="B9" s="126" t="s">
        <v>503</v>
      </c>
      <c r="C9" s="13"/>
      <c r="D9" s="14"/>
      <c r="E9" s="639"/>
      <c r="F9" s="640"/>
      <c r="G9" s="640"/>
      <c r="H9" s="640"/>
      <c r="I9" s="641"/>
      <c r="J9" s="624"/>
      <c r="K9" s="8"/>
    </row>
    <row r="10" spans="1:11" ht="20.5" x14ac:dyDescent="0.35">
      <c r="A10" s="7"/>
      <c r="B10" s="126" t="s">
        <v>504</v>
      </c>
      <c r="C10" s="13"/>
      <c r="D10" s="14"/>
      <c r="E10" s="639"/>
      <c r="F10" s="640"/>
      <c r="G10" s="640"/>
      <c r="H10" s="640"/>
      <c r="I10" s="641"/>
      <c r="J10" s="624"/>
      <c r="K10" s="8"/>
    </row>
    <row r="11" spans="1:11" ht="20.5" x14ac:dyDescent="0.35">
      <c r="A11" s="7"/>
      <c r="B11" s="126" t="s">
        <v>505</v>
      </c>
      <c r="C11" s="13"/>
      <c r="D11" s="14"/>
      <c r="E11" s="639"/>
      <c r="F11" s="640"/>
      <c r="G11" s="640"/>
      <c r="H11" s="640"/>
      <c r="I11" s="641"/>
      <c r="J11" s="624"/>
      <c r="K11" s="8"/>
    </row>
    <row r="12" spans="1:11" ht="20.5" x14ac:dyDescent="0.35">
      <c r="A12" s="7"/>
      <c r="B12" s="126" t="s">
        <v>506</v>
      </c>
      <c r="C12" s="13"/>
      <c r="D12" s="14"/>
      <c r="E12" s="639"/>
      <c r="F12" s="640"/>
      <c r="G12" s="640"/>
      <c r="H12" s="640"/>
      <c r="I12" s="641"/>
      <c r="J12" s="624"/>
      <c r="K12" s="8"/>
    </row>
    <row r="13" spans="1:11" ht="20.5" x14ac:dyDescent="0.35">
      <c r="A13" s="7"/>
      <c r="B13" s="126"/>
      <c r="C13" s="13"/>
      <c r="D13" s="14"/>
      <c r="E13" s="642" t="s">
        <v>137</v>
      </c>
      <c r="F13" s="643"/>
      <c r="G13" s="643"/>
      <c r="H13" s="643"/>
      <c r="I13" s="644"/>
      <c r="J13" s="624"/>
      <c r="K13" s="8"/>
    </row>
    <row r="14" spans="1:11" x14ac:dyDescent="0.35">
      <c r="A14" s="7"/>
      <c r="B14" s="635" t="s">
        <v>138</v>
      </c>
      <c r="C14" s="631"/>
      <c r="D14" s="632"/>
      <c r="E14" s="636" t="s">
        <v>139</v>
      </c>
      <c r="F14" s="637"/>
      <c r="G14" s="637"/>
      <c r="H14" s="637"/>
      <c r="I14" s="638"/>
      <c r="J14" s="624"/>
      <c r="K14" s="8"/>
    </row>
    <row r="15" spans="1:11" x14ac:dyDescent="0.35">
      <c r="A15" s="7"/>
      <c r="B15" s="639"/>
      <c r="C15" s="640"/>
      <c r="D15" s="641"/>
      <c r="E15" s="645" t="s">
        <v>140</v>
      </c>
      <c r="F15" s="646"/>
      <c r="G15" s="646"/>
      <c r="H15" s="646"/>
      <c r="I15" s="647"/>
      <c r="J15" s="624"/>
      <c r="K15" s="8"/>
    </row>
    <row r="16" spans="1:11" x14ac:dyDescent="0.35">
      <c r="A16" s="7"/>
      <c r="B16" s="639"/>
      <c r="C16" s="640"/>
      <c r="D16" s="641"/>
      <c r="E16" s="645"/>
      <c r="F16" s="646"/>
      <c r="G16" s="646"/>
      <c r="H16" s="646"/>
      <c r="I16" s="647"/>
      <c r="J16" s="624"/>
      <c r="K16" s="8"/>
    </row>
    <row r="17" spans="1:14" x14ac:dyDescent="0.35">
      <c r="A17" s="7"/>
      <c r="B17" s="639"/>
      <c r="C17" s="640"/>
      <c r="D17" s="641"/>
      <c r="E17" s="645"/>
      <c r="F17" s="646"/>
      <c r="G17" s="646"/>
      <c r="H17" s="646"/>
      <c r="I17" s="647"/>
      <c r="J17" s="624"/>
      <c r="K17" s="8"/>
    </row>
    <row r="18" spans="1:14" x14ac:dyDescent="0.35">
      <c r="A18" s="7"/>
      <c r="B18" s="627"/>
      <c r="C18" s="628"/>
      <c r="D18" s="629"/>
      <c r="E18" s="648"/>
      <c r="F18" s="649"/>
      <c r="G18" s="649"/>
      <c r="H18" s="649"/>
      <c r="I18" s="650"/>
      <c r="J18" s="624"/>
      <c r="K18" s="8"/>
    </row>
    <row r="19" spans="1:14" x14ac:dyDescent="0.35">
      <c r="A19" s="653" t="s">
        <v>141</v>
      </c>
      <c r="B19" s="635" t="s">
        <v>142</v>
      </c>
      <c r="C19" s="631"/>
      <c r="D19" s="632"/>
      <c r="E19" s="655" t="s">
        <v>143</v>
      </c>
      <c r="F19" s="656"/>
      <c r="G19" s="656"/>
      <c r="H19" s="656"/>
      <c r="I19" s="657"/>
      <c r="J19" s="624"/>
      <c r="K19" s="8"/>
    </row>
    <row r="20" spans="1:14" x14ac:dyDescent="0.35">
      <c r="A20" s="654"/>
      <c r="B20" s="639"/>
      <c r="C20" s="640"/>
      <c r="D20" s="641"/>
      <c r="E20" s="639"/>
      <c r="F20" s="640"/>
      <c r="G20" s="640"/>
      <c r="H20" s="640"/>
      <c r="I20" s="641"/>
      <c r="J20" s="624"/>
      <c r="K20" s="8"/>
    </row>
    <row r="21" spans="1:14" ht="15.5" x14ac:dyDescent="0.35">
      <c r="A21" s="654"/>
      <c r="B21" s="639"/>
      <c r="C21" s="640"/>
      <c r="D21" s="641"/>
      <c r="E21" s="658" t="s">
        <v>144</v>
      </c>
      <c r="F21" s="659"/>
      <c r="G21" s="659"/>
      <c r="H21" s="659"/>
      <c r="I21" s="660"/>
      <c r="J21" s="624"/>
      <c r="K21" s="8"/>
    </row>
    <row r="22" spans="1:14" ht="15.5" x14ac:dyDescent="0.35">
      <c r="A22" s="654"/>
      <c r="B22" s="627"/>
      <c r="C22" s="628"/>
      <c r="D22" s="629"/>
      <c r="E22" s="639"/>
      <c r="F22" s="640"/>
      <c r="G22" s="640"/>
      <c r="H22" s="640"/>
      <c r="I22" s="641"/>
      <c r="J22" s="624"/>
      <c r="K22" s="8"/>
      <c r="L22" s="125"/>
    </row>
    <row r="23" spans="1:14" ht="12.75" customHeight="1" x14ac:dyDescent="0.35">
      <c r="A23" s="654"/>
      <c r="B23" s="20" t="s">
        <v>145</v>
      </c>
      <c r="C23" s="635" t="s">
        <v>146</v>
      </c>
      <c r="D23" s="632"/>
      <c r="E23" s="639"/>
      <c r="F23" s="640"/>
      <c r="G23" s="640"/>
      <c r="H23" s="640"/>
      <c r="I23" s="641"/>
      <c r="J23" s="624"/>
      <c r="K23" s="8"/>
    </row>
    <row r="24" spans="1:14" ht="19" customHeight="1" x14ac:dyDescent="0.35">
      <c r="A24" s="654"/>
      <c r="B24" s="21"/>
      <c r="C24" s="666" t="s">
        <v>514</v>
      </c>
      <c r="D24" s="667"/>
      <c r="E24" s="639"/>
      <c r="F24" s="640"/>
      <c r="G24" s="640"/>
      <c r="H24" s="668" t="s">
        <v>147</v>
      </c>
      <c r="I24" s="669"/>
      <c r="J24" s="624"/>
      <c r="K24" s="8"/>
    </row>
    <row r="25" spans="1:14" x14ac:dyDescent="0.35">
      <c r="A25" s="654"/>
      <c r="B25" s="20" t="s">
        <v>148</v>
      </c>
      <c r="C25" s="635" t="s">
        <v>149</v>
      </c>
      <c r="D25" s="632"/>
      <c r="E25" s="670" t="s">
        <v>150</v>
      </c>
      <c r="F25" s="671"/>
      <c r="G25" s="671"/>
      <c r="H25" s="671"/>
      <c r="I25" s="672"/>
      <c r="J25" s="624"/>
      <c r="K25" s="8"/>
    </row>
    <row r="26" spans="1:14" ht="19" customHeight="1" x14ac:dyDescent="0.35">
      <c r="A26" s="654"/>
      <c r="B26" s="21" t="s">
        <v>507</v>
      </c>
      <c r="C26" s="666"/>
      <c r="D26" s="667"/>
      <c r="E26" s="642" t="s">
        <v>151</v>
      </c>
      <c r="F26" s="643"/>
      <c r="G26" s="22" t="s">
        <v>152</v>
      </c>
      <c r="H26" s="22" t="s">
        <v>153</v>
      </c>
      <c r="I26" s="19" t="s">
        <v>154</v>
      </c>
      <c r="J26" s="624"/>
      <c r="K26" s="8"/>
    </row>
    <row r="27" spans="1:14" ht="12.75" customHeight="1" x14ac:dyDescent="0.35">
      <c r="A27" s="654"/>
      <c r="B27" s="23" t="s">
        <v>155</v>
      </c>
      <c r="C27" s="673" t="s">
        <v>156</v>
      </c>
      <c r="D27" s="673"/>
      <c r="E27" s="673"/>
      <c r="F27" s="673"/>
      <c r="G27" s="24" t="s">
        <v>157</v>
      </c>
      <c r="H27" s="24" t="s">
        <v>158</v>
      </c>
      <c r="I27" s="25" t="s">
        <v>159</v>
      </c>
      <c r="J27" s="624"/>
      <c r="K27" s="8"/>
    </row>
    <row r="28" spans="1:14" x14ac:dyDescent="0.35">
      <c r="A28" s="654"/>
      <c r="B28" s="26"/>
      <c r="C28" s="27"/>
      <c r="D28" s="27"/>
      <c r="E28" s="27"/>
      <c r="F28" s="28"/>
      <c r="G28" s="192"/>
      <c r="H28" s="192"/>
      <c r="I28" s="29"/>
      <c r="J28" s="624"/>
      <c r="K28" s="8"/>
    </row>
    <row r="29" spans="1:14" ht="15.5" x14ac:dyDescent="0.35">
      <c r="A29" s="654"/>
      <c r="B29" s="125" t="s">
        <v>338</v>
      </c>
      <c r="C29" s="31"/>
      <c r="D29" s="31"/>
      <c r="E29" s="31"/>
      <c r="F29" s="32"/>
      <c r="G29" s="191"/>
      <c r="H29" s="191"/>
      <c r="I29" s="33"/>
      <c r="J29" s="624"/>
      <c r="K29" s="8"/>
    </row>
    <row r="30" spans="1:14" ht="15.5" x14ac:dyDescent="0.35">
      <c r="A30" s="654"/>
      <c r="B30" s="61" t="s">
        <v>343</v>
      </c>
      <c r="C30" s="31"/>
      <c r="D30" s="31"/>
      <c r="E30" s="31"/>
      <c r="F30" s="32"/>
      <c r="G30" s="191"/>
      <c r="H30" s="191"/>
      <c r="I30" s="33"/>
      <c r="J30" s="624"/>
      <c r="K30" s="8"/>
    </row>
    <row r="31" spans="1:14" ht="15.5" x14ac:dyDescent="0.35">
      <c r="A31" s="654"/>
      <c r="B31" s="61" t="str">
        <f t="array" ref="B31">CONCATENATE(SUM(SUMIF(packingListModelFinal!$A$11:$A$150, PERFUME, packingListModelFinal!$K$11:$K$150)), " FIBREBOARD BOXES")</f>
        <v>0 FIBREBOARD BOXES</v>
      </c>
      <c r="C31" s="31"/>
      <c r="D31" s="31"/>
      <c r="E31" s="31"/>
      <c r="F31" s="32"/>
      <c r="G31" s="191"/>
      <c r="H31" s="191"/>
      <c r="I31" s="33"/>
      <c r="J31" s="624"/>
      <c r="K31" s="8"/>
      <c r="N31" s="195"/>
    </row>
    <row r="32" spans="1:14" ht="15.5" x14ac:dyDescent="0.35">
      <c r="A32" s="654"/>
      <c r="B32" s="61" t="str">
        <f t="array" ref="B32">CONCATENATE(SUM(SUMIF(packingListModelFinal!$A$11:$A$151, PERFUME_100, packingListModelFinal!$G$11:$G$151)), " GLASS BOTTLES BY 100ML")</f>
        <v>0 GLASS BOTTLES BY 100ML</v>
      </c>
      <c r="C32" s="31"/>
      <c r="D32" s="31"/>
      <c r="E32" s="31"/>
      <c r="F32" s="32"/>
      <c r="G32" s="191">
        <f t="array" ref="G32">SUM(SUMIF(packingListModelFinal!$A$11:$A$150, PERFUME_100, packingListModelFinal!$H$11:$H$150) * PERFUME_100_PESI)</f>
        <v>0</v>
      </c>
      <c r="H32" s="191">
        <f t="array" ref="H32">SUM(SUMIF(packingListModelFinal!$A$11:$A$150, PERFUME_100, packingListModelFinal!$I$11:$I$150) * PERFUME_100_PESI)</f>
        <v>0</v>
      </c>
      <c r="I32" s="64">
        <f t="array" ref="I32">SUM(SUMIF(packingListModelFinal!$A$11:$A$150, PERFUME_100, packingListModelFinal!$J$11:$J$150) * PERFUME_100_PESI)</f>
        <v>0</v>
      </c>
      <c r="J32" s="624"/>
      <c r="K32" s="8"/>
    </row>
    <row r="33" spans="1:11" ht="15.5" x14ac:dyDescent="0.35">
      <c r="A33" s="654"/>
      <c r="B33" s="61"/>
      <c r="C33" s="31"/>
      <c r="D33" s="31"/>
      <c r="E33" s="31"/>
      <c r="F33" s="32"/>
      <c r="G33" s="191"/>
      <c r="H33" s="191"/>
      <c r="I33" s="64"/>
      <c r="J33" s="624"/>
      <c r="K33" s="8"/>
    </row>
    <row r="34" spans="1:11" ht="15.5" x14ac:dyDescent="0.35">
      <c r="A34" s="654"/>
      <c r="B34" s="62"/>
      <c r="C34" s="31"/>
      <c r="D34" s="31"/>
      <c r="E34" s="31"/>
      <c r="F34" s="32"/>
      <c r="G34" s="191"/>
      <c r="H34" s="191"/>
      <c r="I34" s="64"/>
      <c r="J34" s="624"/>
      <c r="K34" s="8"/>
    </row>
    <row r="35" spans="1:11" ht="15.5" x14ac:dyDescent="0.35">
      <c r="A35" s="654"/>
      <c r="B35" s="62" t="s">
        <v>365</v>
      </c>
      <c r="C35" s="31"/>
      <c r="D35" s="31"/>
      <c r="E35" s="31"/>
      <c r="F35" s="32"/>
      <c r="G35" s="191"/>
      <c r="H35" s="191"/>
      <c r="I35" s="64"/>
      <c r="J35" s="624"/>
      <c r="K35" s="8"/>
    </row>
    <row r="36" spans="1:11" ht="15.5" x14ac:dyDescent="0.35">
      <c r="A36" s="654"/>
      <c r="B36" s="62"/>
      <c r="C36" s="31"/>
      <c r="D36" s="31"/>
      <c r="E36" s="31"/>
      <c r="F36" s="32"/>
      <c r="G36" s="191"/>
      <c r="H36" s="191"/>
      <c r="I36" s="64"/>
      <c r="J36" s="624"/>
      <c r="K36" s="8"/>
    </row>
    <row r="37" spans="1:11" ht="15.5" x14ac:dyDescent="0.35">
      <c r="A37" s="654"/>
      <c r="B37" s="62"/>
      <c r="C37" s="31"/>
      <c r="D37" s="31"/>
      <c r="E37" s="31"/>
      <c r="F37" s="32"/>
      <c r="G37" s="191"/>
      <c r="H37" s="191"/>
      <c r="I37" s="64"/>
      <c r="J37" s="624"/>
      <c r="K37" s="8"/>
    </row>
    <row r="38" spans="1:11" ht="15.5" x14ac:dyDescent="0.35">
      <c r="A38" s="654"/>
      <c r="B38" s="62"/>
      <c r="C38" s="31"/>
      <c r="D38" s="31"/>
      <c r="E38" s="31"/>
      <c r="F38" s="32"/>
      <c r="G38" s="191"/>
      <c r="H38" s="191"/>
      <c r="I38" s="64"/>
      <c r="J38" s="624"/>
      <c r="K38" s="8"/>
    </row>
    <row r="39" spans="1:11" ht="15.5" x14ac:dyDescent="0.35">
      <c r="A39" s="654"/>
      <c r="B39" s="63"/>
      <c r="C39" s="35"/>
      <c r="D39" s="35"/>
      <c r="E39" s="35"/>
      <c r="F39" s="36"/>
      <c r="G39" s="191"/>
      <c r="H39" s="191"/>
      <c r="I39" s="64"/>
      <c r="J39" s="624"/>
      <c r="K39" s="8"/>
    </row>
    <row r="40" spans="1:11" ht="15.5" x14ac:dyDescent="0.35">
      <c r="A40" s="654"/>
      <c r="B40" s="62"/>
      <c r="C40" s="31"/>
      <c r="D40" s="31"/>
      <c r="E40" s="31"/>
      <c r="F40" s="32"/>
      <c r="G40" s="191"/>
      <c r="H40" s="191"/>
      <c r="I40" s="64"/>
      <c r="J40" s="624"/>
      <c r="K40" s="8"/>
    </row>
    <row r="41" spans="1:11" ht="15.5" x14ac:dyDescent="0.35">
      <c r="A41" s="654"/>
      <c r="B41" s="62"/>
      <c r="C41" s="31"/>
      <c r="D41" s="31"/>
      <c r="E41" s="31"/>
      <c r="F41" s="32"/>
      <c r="G41" s="191"/>
      <c r="H41" s="191"/>
      <c r="I41" s="64"/>
      <c r="J41" s="624"/>
      <c r="K41" s="8"/>
    </row>
    <row r="42" spans="1:11" ht="15.5" x14ac:dyDescent="0.35">
      <c r="A42" s="654"/>
      <c r="B42" s="62"/>
      <c r="C42" s="31"/>
      <c r="D42" s="31"/>
      <c r="E42" s="31"/>
      <c r="F42" s="32"/>
      <c r="G42" s="191"/>
      <c r="H42" s="191"/>
      <c r="I42" s="64"/>
      <c r="J42" s="624"/>
      <c r="K42" s="8"/>
    </row>
    <row r="43" spans="1:11" ht="15.5" x14ac:dyDescent="0.35">
      <c r="A43" s="654"/>
      <c r="B43" s="62"/>
      <c r="C43" s="31"/>
      <c r="D43" s="31"/>
      <c r="E43" s="31"/>
      <c r="F43" s="32"/>
      <c r="G43" s="191"/>
      <c r="H43" s="191"/>
      <c r="I43" s="64"/>
      <c r="J43" s="624"/>
      <c r="K43" s="8"/>
    </row>
    <row r="44" spans="1:11" ht="15.5" x14ac:dyDescent="0.35">
      <c r="A44" s="654"/>
      <c r="B44" s="62"/>
      <c r="C44" s="31"/>
      <c r="D44" s="31"/>
      <c r="E44" s="31"/>
      <c r="F44" s="32"/>
      <c r="G44" s="191"/>
      <c r="H44" s="191"/>
      <c r="I44" s="64"/>
      <c r="J44" s="624"/>
      <c r="K44" s="8"/>
    </row>
    <row r="45" spans="1:11" ht="15.5" x14ac:dyDescent="0.35">
      <c r="A45" s="654"/>
      <c r="B45" s="62"/>
      <c r="C45" s="31"/>
      <c r="D45" s="31"/>
      <c r="E45" s="31"/>
      <c r="F45" s="32"/>
      <c r="G45" s="191"/>
      <c r="H45" s="191"/>
      <c r="I45" s="64"/>
      <c r="J45" s="624"/>
      <c r="K45" s="8"/>
    </row>
    <row r="46" spans="1:11" ht="15.5" x14ac:dyDescent="0.35">
      <c r="A46" s="654"/>
      <c r="B46" s="62"/>
      <c r="C46" s="35"/>
      <c r="D46" s="35"/>
      <c r="E46" s="35"/>
      <c r="F46" s="36"/>
      <c r="G46" s="191"/>
      <c r="H46" s="191"/>
      <c r="I46" s="64"/>
      <c r="J46" s="624"/>
      <c r="K46" s="8"/>
    </row>
    <row r="47" spans="1:11" ht="15.5" x14ac:dyDescent="0.35">
      <c r="A47" s="654"/>
      <c r="B47" s="63"/>
      <c r="C47" s="35"/>
      <c r="D47" s="35"/>
      <c r="E47" s="35"/>
      <c r="F47" s="36"/>
      <c r="G47" s="191"/>
      <c r="H47" s="191"/>
      <c r="I47" s="33"/>
      <c r="J47" s="624"/>
      <c r="K47" s="8"/>
    </row>
    <row r="48" spans="1:11" ht="15.5" x14ac:dyDescent="0.35">
      <c r="A48" s="654"/>
      <c r="B48" s="63"/>
      <c r="C48" s="35"/>
      <c r="D48" s="35"/>
      <c r="E48" s="35"/>
      <c r="F48" s="36"/>
      <c r="G48" s="191"/>
      <c r="H48" s="191"/>
      <c r="I48" s="33"/>
      <c r="J48" s="624"/>
      <c r="K48" s="8"/>
    </row>
    <row r="49" spans="1:15" ht="15.5" x14ac:dyDescent="0.35">
      <c r="A49" s="654"/>
      <c r="B49" s="63"/>
      <c r="C49" s="35"/>
      <c r="D49" s="35"/>
      <c r="E49" s="35"/>
      <c r="F49" s="36"/>
      <c r="G49" s="191"/>
      <c r="H49" s="191"/>
      <c r="I49" s="33"/>
      <c r="J49" s="624"/>
      <c r="K49" s="8"/>
    </row>
    <row r="50" spans="1:15" ht="15.5" x14ac:dyDescent="0.35">
      <c r="A50" s="654"/>
      <c r="B50" s="34"/>
      <c r="C50" s="35"/>
      <c r="D50" s="35"/>
      <c r="E50" s="35"/>
      <c r="F50" s="36"/>
      <c r="G50" s="191"/>
      <c r="H50" s="191"/>
      <c r="I50" s="33"/>
      <c r="J50" s="624"/>
      <c r="K50" s="8"/>
    </row>
    <row r="51" spans="1:15" ht="15.5" x14ac:dyDescent="0.35">
      <c r="A51" s="654"/>
      <c r="B51" s="34"/>
      <c r="C51" s="35"/>
      <c r="D51" s="35"/>
      <c r="E51" s="35"/>
      <c r="F51" s="36"/>
      <c r="G51" s="191"/>
      <c r="H51" s="191"/>
      <c r="I51" s="33"/>
      <c r="J51" s="624"/>
      <c r="K51" s="8"/>
    </row>
    <row r="52" spans="1:15" ht="15.5" x14ac:dyDescent="0.35">
      <c r="A52" s="654"/>
      <c r="B52" s="30"/>
      <c r="C52" s="31"/>
      <c r="D52" s="31"/>
      <c r="E52" s="31"/>
      <c r="F52" s="32"/>
      <c r="G52" s="191"/>
      <c r="H52" s="191"/>
      <c r="I52" s="33"/>
      <c r="J52" s="624"/>
      <c r="K52" s="8"/>
    </row>
    <row r="53" spans="1:15" ht="15.5" x14ac:dyDescent="0.35">
      <c r="A53" s="654"/>
      <c r="B53" s="30"/>
      <c r="C53" s="31"/>
      <c r="D53" s="31"/>
      <c r="E53" s="31"/>
      <c r="F53" s="32"/>
      <c r="G53" s="191"/>
      <c r="H53" s="193"/>
      <c r="I53" s="33"/>
      <c r="J53" s="624"/>
      <c r="K53" s="8"/>
    </row>
    <row r="54" spans="1:15" x14ac:dyDescent="0.35">
      <c r="A54" s="654"/>
      <c r="B54" s="37"/>
      <c r="C54" s="38"/>
      <c r="D54" s="38"/>
      <c r="E54" s="38"/>
      <c r="F54" s="39"/>
      <c r="G54" s="20" t="s">
        <v>285</v>
      </c>
      <c r="H54" s="20" t="s">
        <v>160</v>
      </c>
      <c r="I54" s="20" t="s">
        <v>161</v>
      </c>
      <c r="J54" s="624"/>
      <c r="K54" s="8"/>
    </row>
    <row r="55" spans="1:15" ht="15.5" x14ac:dyDescent="0.35">
      <c r="A55" s="654"/>
      <c r="B55" s="40"/>
      <c r="C55" s="41"/>
      <c r="D55" s="41"/>
      <c r="E55" s="41"/>
      <c r="F55" s="42"/>
      <c r="G55" s="194">
        <f>SUM(G28:G53)</f>
        <v>0</v>
      </c>
      <c r="H55" s="194">
        <f>SUM(H28:H53)</f>
        <v>0</v>
      </c>
      <c r="I55" s="65">
        <f>SUM(I29:I54)</f>
        <v>0</v>
      </c>
      <c r="J55" s="624"/>
      <c r="K55" s="8"/>
    </row>
    <row r="56" spans="1:15" x14ac:dyDescent="0.35">
      <c r="A56" s="654"/>
      <c r="B56" s="20" t="s">
        <v>162</v>
      </c>
      <c r="C56" s="635" t="s">
        <v>163</v>
      </c>
      <c r="D56" s="632"/>
      <c r="E56" s="635" t="s">
        <v>164</v>
      </c>
      <c r="F56" s="631"/>
      <c r="G56" s="632"/>
      <c r="H56" s="15" t="s">
        <v>165</v>
      </c>
      <c r="I56" s="20" t="s">
        <v>166</v>
      </c>
      <c r="J56" s="624"/>
      <c r="K56" s="8"/>
    </row>
    <row r="57" spans="1:15" x14ac:dyDescent="0.35">
      <c r="A57" s="654"/>
      <c r="B57" s="43" t="s">
        <v>167</v>
      </c>
      <c r="C57" s="674"/>
      <c r="D57" s="675"/>
      <c r="E57" s="674"/>
      <c r="F57" s="676"/>
      <c r="G57" s="675"/>
      <c r="H57" s="44"/>
      <c r="I57" s="45" t="s">
        <v>168</v>
      </c>
      <c r="J57" s="624"/>
      <c r="K57" s="8"/>
    </row>
    <row r="58" spans="1:15" ht="15.5" x14ac:dyDescent="0.35">
      <c r="A58" s="654"/>
      <c r="B58" s="46"/>
      <c r="C58" s="661"/>
      <c r="D58" s="662"/>
      <c r="E58" s="663"/>
      <c r="F58" s="664"/>
      <c r="G58" s="665"/>
      <c r="H58" s="44"/>
      <c r="I58" s="44"/>
      <c r="J58" s="624"/>
      <c r="K58" s="8"/>
    </row>
    <row r="59" spans="1:15" ht="12" customHeight="1" x14ac:dyDescent="0.35">
      <c r="A59" s="654"/>
      <c r="B59" s="47"/>
      <c r="C59" s="681"/>
      <c r="D59" s="682"/>
      <c r="E59" s="681"/>
      <c r="F59" s="683"/>
      <c r="G59" s="682"/>
      <c r="H59" s="48"/>
      <c r="I59" s="48"/>
      <c r="J59" s="624"/>
      <c r="K59" s="8"/>
    </row>
    <row r="60" spans="1:15" ht="13.5" customHeight="1" x14ac:dyDescent="0.35">
      <c r="A60" s="49"/>
      <c r="B60" s="684" t="s">
        <v>169</v>
      </c>
      <c r="C60" s="685"/>
      <c r="D60" s="686" t="s">
        <v>170</v>
      </c>
      <c r="E60" s="687"/>
      <c r="F60" s="687"/>
      <c r="G60" s="687"/>
      <c r="H60" s="687"/>
      <c r="I60" s="688"/>
      <c r="J60" s="625"/>
      <c r="K60" s="8"/>
    </row>
    <row r="61" spans="1:15" ht="25.5" customHeight="1" x14ac:dyDescent="0.35">
      <c r="A61" s="7"/>
      <c r="B61" s="689" t="s">
        <v>171</v>
      </c>
      <c r="C61" s="690"/>
      <c r="D61" s="689" t="s">
        <v>172</v>
      </c>
      <c r="E61" s="691"/>
      <c r="F61" s="691"/>
      <c r="G61" s="691"/>
      <c r="H61" s="691"/>
      <c r="I61" s="690"/>
      <c r="J61" s="625"/>
      <c r="K61" s="8"/>
    </row>
    <row r="62" spans="1:15" ht="34.5" customHeight="1" x14ac:dyDescent="0.45">
      <c r="A62" s="7"/>
      <c r="B62" s="692" t="s">
        <v>173</v>
      </c>
      <c r="C62" s="693"/>
      <c r="D62" s="694"/>
      <c r="E62" s="695"/>
      <c r="F62" s="695"/>
      <c r="G62" s="695"/>
      <c r="H62" s="695"/>
      <c r="I62" s="696"/>
      <c r="J62" s="625"/>
      <c r="K62" s="8"/>
    </row>
    <row r="63" spans="1:15" x14ac:dyDescent="0.35">
      <c r="A63" s="7"/>
      <c r="B63" s="635" t="s">
        <v>174</v>
      </c>
      <c r="C63" s="632"/>
      <c r="D63" s="635" t="s">
        <v>175</v>
      </c>
      <c r="E63" s="631"/>
      <c r="F63" s="632"/>
      <c r="G63" s="635" t="s">
        <v>176</v>
      </c>
      <c r="H63" s="631"/>
      <c r="I63" s="632"/>
      <c r="J63" s="626"/>
      <c r="K63" s="8"/>
      <c r="O63" s="198"/>
    </row>
    <row r="64" spans="1:15" ht="15.5" x14ac:dyDescent="0.35">
      <c r="A64" s="7"/>
      <c r="B64" s="677" t="s">
        <v>126</v>
      </c>
      <c r="C64" s="634"/>
      <c r="D64" s="678"/>
      <c r="E64" s="679"/>
      <c r="F64" s="680"/>
      <c r="G64" s="677" t="s">
        <v>177</v>
      </c>
      <c r="H64" s="633"/>
      <c r="I64" s="634"/>
      <c r="J64" s="626"/>
      <c r="K64" s="8"/>
      <c r="O64" s="198"/>
    </row>
    <row r="65" spans="1:15" x14ac:dyDescent="0.35">
      <c r="A65" s="7"/>
      <c r="B65" s="635" t="s">
        <v>178</v>
      </c>
      <c r="C65" s="632"/>
      <c r="D65" s="635" t="s">
        <v>179</v>
      </c>
      <c r="E65" s="631"/>
      <c r="F65" s="632"/>
      <c r="G65" s="635" t="s">
        <v>178</v>
      </c>
      <c r="H65" s="631"/>
      <c r="I65" s="632"/>
      <c r="J65" s="626"/>
      <c r="K65" s="8"/>
      <c r="O65" s="198"/>
    </row>
    <row r="66" spans="1:15" ht="15.5" x14ac:dyDescent="0.35">
      <c r="A66" s="7"/>
      <c r="B66" s="677" t="s">
        <v>180</v>
      </c>
      <c r="C66" s="634"/>
      <c r="D66" s="697"/>
      <c r="E66" s="698"/>
      <c r="F66" s="699"/>
      <c r="G66" s="677" t="s">
        <v>180</v>
      </c>
      <c r="H66" s="633"/>
      <c r="I66" s="634"/>
      <c r="J66" s="626"/>
      <c r="K66" s="8"/>
      <c r="O66" s="198"/>
    </row>
    <row r="67" spans="1:15" x14ac:dyDescent="0.35">
      <c r="A67" s="7"/>
      <c r="B67" s="635" t="s">
        <v>181</v>
      </c>
      <c r="C67" s="632"/>
      <c r="D67" s="635" t="s">
        <v>182</v>
      </c>
      <c r="E67" s="631"/>
      <c r="F67" s="632"/>
      <c r="G67" s="635" t="s">
        <v>181</v>
      </c>
      <c r="H67" s="631"/>
      <c r="I67" s="632"/>
      <c r="J67" s="626"/>
      <c r="K67" s="8"/>
      <c r="O67" s="198"/>
    </row>
    <row r="68" spans="1:15" ht="15.5" x14ac:dyDescent="0.35">
      <c r="A68" s="7"/>
      <c r="B68" s="677" t="s">
        <v>546</v>
      </c>
      <c r="C68" s="634"/>
      <c r="D68" s="700"/>
      <c r="E68" s="679"/>
      <c r="F68" s="680"/>
      <c r="G68" s="677" t="s">
        <v>546</v>
      </c>
      <c r="H68" s="633"/>
      <c r="I68" s="634"/>
      <c r="J68" s="626"/>
      <c r="K68" s="8"/>
      <c r="O68" s="198"/>
    </row>
    <row r="69" spans="1:15" x14ac:dyDescent="0.35">
      <c r="A69" s="7"/>
      <c r="B69" s="635" t="s">
        <v>366</v>
      </c>
      <c r="C69" s="632"/>
      <c r="D69" s="635" t="s">
        <v>184</v>
      </c>
      <c r="E69" s="631"/>
      <c r="F69" s="632"/>
      <c r="G69" s="635" t="s">
        <v>183</v>
      </c>
      <c r="H69" s="631"/>
      <c r="I69" s="632"/>
      <c r="J69" s="626"/>
      <c r="O69" s="198"/>
    </row>
    <row r="70" spans="1:15" ht="20.5" x14ac:dyDescent="0.35">
      <c r="A70" s="7"/>
      <c r="B70" s="707"/>
      <c r="C70" s="708"/>
      <c r="D70" s="707"/>
      <c r="E70" s="709"/>
      <c r="F70" s="708"/>
      <c r="G70" s="710"/>
      <c r="H70" s="711"/>
      <c r="I70" s="712"/>
      <c r="J70" s="626"/>
    </row>
    <row r="71" spans="1:15" ht="20.5" x14ac:dyDescent="0.35">
      <c r="A71" s="7"/>
      <c r="B71" s="701"/>
      <c r="C71" s="702"/>
      <c r="D71" s="701"/>
      <c r="E71" s="703"/>
      <c r="F71" s="702"/>
      <c r="G71" s="704"/>
      <c r="H71" s="705"/>
      <c r="I71" s="706"/>
      <c r="J71" s="626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conditionalFormatting sqref="B9:B13">
    <cfRule type="cellIs" dxfId="74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12700</xdr:rowOff>
                  </from>
                  <to>
                    <xdr:col>4</xdr:col>
                    <xdr:colOff>279400</xdr:colOff>
                    <xdr:row>12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260350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317500</xdr:colOff>
                    <xdr:row>25</xdr:row>
                    <xdr:rowOff>31750</xdr:rowOff>
                  </from>
                  <to>
                    <xdr:col>5</xdr:col>
                    <xdr:colOff>527050</xdr:colOff>
                    <xdr:row>25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869950</xdr:colOff>
                    <xdr:row>25</xdr:row>
                    <xdr:rowOff>12700</xdr:rowOff>
                  </from>
                  <to>
                    <xdr:col>7</xdr:col>
                    <xdr:colOff>0</xdr:colOff>
                    <xdr:row>25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12700</xdr:rowOff>
                  </from>
                  <to>
                    <xdr:col>8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31750</xdr:colOff>
                    <xdr:row>26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O255"/>
  <sheetViews>
    <sheetView workbookViewId="0">
      <pane ySplit="1" topLeftCell="A2" activePane="bottomLeft" state="frozen"/>
      <selection pane="bottomLeft" activeCell="E2" sqref="E2:E3"/>
    </sheetView>
  </sheetViews>
  <sheetFormatPr defaultRowHeight="14.5" x14ac:dyDescent="0.35"/>
  <cols>
    <col min="1" max="1" width="25.26953125" bestFit="1" customWidth="1"/>
    <col min="2" max="2" width="15.453125" customWidth="1"/>
    <col min="3" max="3" width="5.7265625" customWidth="1"/>
    <col min="4" max="4" width="56.1796875" style="1" customWidth="1"/>
    <col min="5" max="5" width="79.81640625" style="1" bestFit="1" customWidth="1"/>
    <col min="6" max="6" width="14.54296875" style="1" customWidth="1"/>
    <col min="7" max="7" width="18.54296875" style="1" bestFit="1" customWidth="1"/>
    <col min="8" max="10" width="8.7265625" style="1"/>
    <col min="11" max="11" width="8.7265625" style="5"/>
    <col min="12" max="14" width="8.7265625" style="1"/>
  </cols>
  <sheetData>
    <row r="1" spans="1:15" x14ac:dyDescent="0.35">
      <c r="A1" s="478" t="s">
        <v>390</v>
      </c>
      <c r="B1" s="484" t="s">
        <v>389</v>
      </c>
      <c r="C1" s="486"/>
      <c r="D1" s="484" t="s">
        <v>269</v>
      </c>
      <c r="E1" s="484" t="s">
        <v>270</v>
      </c>
      <c r="F1" s="484" t="s">
        <v>81</v>
      </c>
      <c r="G1" s="484" t="s">
        <v>388</v>
      </c>
      <c r="H1" s="484" t="s">
        <v>74</v>
      </c>
      <c r="I1" s="484"/>
      <c r="J1" s="487"/>
      <c r="K1" s="488"/>
      <c r="L1" s="487"/>
      <c r="M1" s="487"/>
      <c r="N1" s="487"/>
      <c r="O1" s="489"/>
    </row>
    <row r="2" spans="1:15" x14ac:dyDescent="0.35">
      <c r="A2" s="479" t="s">
        <v>386</v>
      </c>
      <c r="B2" s="1">
        <f ca="1">COUNTA(utility_payMethod)</f>
        <v>10</v>
      </c>
      <c r="C2" s="480"/>
      <c r="D2" s="1" t="s">
        <v>271</v>
      </c>
      <c r="E2" s="1" t="s">
        <v>40</v>
      </c>
      <c r="F2" s="1" t="s">
        <v>38</v>
      </c>
      <c r="G2" s="1" t="s">
        <v>371</v>
      </c>
      <c r="H2" s="1" t="s">
        <v>381</v>
      </c>
      <c r="O2" s="481"/>
    </row>
    <row r="3" spans="1:15" x14ac:dyDescent="0.35">
      <c r="A3" s="479" t="s">
        <v>270</v>
      </c>
      <c r="B3" s="1">
        <f>COUNTA(uti)</f>
        <v>1</v>
      </c>
      <c r="C3" s="480"/>
      <c r="D3" s="1" t="s">
        <v>253</v>
      </c>
      <c r="E3" s="1" t="s">
        <v>240</v>
      </c>
      <c r="F3" s="1" t="s">
        <v>39</v>
      </c>
      <c r="G3" s="1" t="s">
        <v>372</v>
      </c>
      <c r="H3" s="1" t="s">
        <v>276</v>
      </c>
      <c r="O3" s="481"/>
    </row>
    <row r="4" spans="1:15" x14ac:dyDescent="0.35">
      <c r="A4" s="479" t="s">
        <v>385</v>
      </c>
      <c r="B4" s="1">
        <f ca="1">COUNTA(utility_currency)</f>
        <v>3</v>
      </c>
      <c r="C4" s="480"/>
      <c r="D4" s="1" t="s">
        <v>242</v>
      </c>
      <c r="E4" s="1" t="s">
        <v>42</v>
      </c>
      <c r="F4" s="1" t="s">
        <v>221</v>
      </c>
      <c r="G4" s="1" t="s">
        <v>373</v>
      </c>
      <c r="H4" s="1" t="s">
        <v>382</v>
      </c>
      <c r="O4" s="481"/>
    </row>
    <row r="5" spans="1:15" x14ac:dyDescent="0.35">
      <c r="A5" s="479" t="s">
        <v>387</v>
      </c>
      <c r="B5" s="1">
        <f ca="1">COUNTA(utility_category)</f>
        <v>10</v>
      </c>
      <c r="C5" s="480"/>
      <c r="D5" s="1" t="s">
        <v>257</v>
      </c>
      <c r="G5" s="1" t="s">
        <v>374</v>
      </c>
      <c r="H5" s="1" t="s">
        <v>383</v>
      </c>
      <c r="O5" s="481"/>
    </row>
    <row r="6" spans="1:15" x14ac:dyDescent="0.35">
      <c r="A6" s="479" t="s">
        <v>74</v>
      </c>
      <c r="B6" s="1">
        <f ca="1">COUNTA(utility_um)</f>
        <v>8</v>
      </c>
      <c r="C6" s="480"/>
      <c r="D6" s="1" t="s">
        <v>256</v>
      </c>
      <c r="G6" s="1" t="s">
        <v>18</v>
      </c>
      <c r="H6" s="1" t="s">
        <v>384</v>
      </c>
      <c r="O6" s="481"/>
    </row>
    <row r="7" spans="1:15" x14ac:dyDescent="0.35">
      <c r="A7" s="479"/>
      <c r="B7" s="1"/>
      <c r="C7" s="480"/>
      <c r="D7" s="1" t="s">
        <v>272</v>
      </c>
      <c r="G7" s="1" t="s">
        <v>375</v>
      </c>
      <c r="H7" s="1" t="s">
        <v>244</v>
      </c>
      <c r="O7" s="481"/>
    </row>
    <row r="8" spans="1:15" x14ac:dyDescent="0.35">
      <c r="A8" s="480"/>
      <c r="C8" s="480"/>
      <c r="D8" s="1" t="s">
        <v>273</v>
      </c>
      <c r="G8" s="1" t="s">
        <v>17</v>
      </c>
      <c r="H8" s="1" t="s">
        <v>378</v>
      </c>
      <c r="O8" s="481"/>
    </row>
    <row r="9" spans="1:15" x14ac:dyDescent="0.35">
      <c r="A9" s="480"/>
      <c r="C9" s="480"/>
      <c r="D9" s="1" t="s">
        <v>283</v>
      </c>
      <c r="G9" s="1" t="s">
        <v>376</v>
      </c>
      <c r="H9" s="1" t="s">
        <v>277</v>
      </c>
      <c r="O9" s="481"/>
    </row>
    <row r="10" spans="1:15" x14ac:dyDescent="0.35">
      <c r="A10" s="480"/>
      <c r="C10" s="480"/>
      <c r="D10" s="1" t="s">
        <v>255</v>
      </c>
      <c r="G10" s="1" t="s">
        <v>377</v>
      </c>
      <c r="H10"/>
      <c r="O10" s="481"/>
    </row>
    <row r="11" spans="1:15" x14ac:dyDescent="0.35">
      <c r="A11" s="480"/>
      <c r="C11" s="480"/>
      <c r="D11" s="1" t="s">
        <v>329</v>
      </c>
      <c r="G11" s="1" t="s">
        <v>378</v>
      </c>
      <c r="H11"/>
      <c r="O11" s="481"/>
    </row>
    <row r="12" spans="1:15" x14ac:dyDescent="0.35">
      <c r="A12" s="480"/>
      <c r="C12" s="480"/>
      <c r="H12"/>
      <c r="O12" s="481"/>
    </row>
    <row r="13" spans="1:15" x14ac:dyDescent="0.35">
      <c r="A13" s="480"/>
      <c r="C13" s="480"/>
      <c r="H13"/>
      <c r="O13" s="481"/>
    </row>
    <row r="14" spans="1:15" x14ac:dyDescent="0.35">
      <c r="A14" s="480"/>
      <c r="C14" s="480"/>
      <c r="H14"/>
      <c r="O14" s="481"/>
    </row>
    <row r="15" spans="1:15" x14ac:dyDescent="0.35">
      <c r="A15" s="480"/>
      <c r="C15" s="480"/>
      <c r="H15"/>
      <c r="O15" s="481"/>
    </row>
    <row r="16" spans="1:15" x14ac:dyDescent="0.35">
      <c r="A16" s="480"/>
      <c r="C16" s="480"/>
      <c r="H16"/>
      <c r="O16" s="481"/>
    </row>
    <row r="17" spans="1:15" x14ac:dyDescent="0.35">
      <c r="A17" s="480"/>
      <c r="C17" s="480"/>
      <c r="H17"/>
      <c r="O17" s="481"/>
    </row>
    <row r="18" spans="1:15" x14ac:dyDescent="0.35">
      <c r="A18" s="480"/>
      <c r="C18" s="480"/>
      <c r="H18"/>
      <c r="O18" s="481"/>
    </row>
    <row r="19" spans="1:15" x14ac:dyDescent="0.35">
      <c r="A19" s="480"/>
      <c r="C19" s="480"/>
      <c r="H19"/>
      <c r="O19" s="481"/>
    </row>
    <row r="20" spans="1:15" x14ac:dyDescent="0.35">
      <c r="A20" s="480"/>
      <c r="C20" s="480"/>
      <c r="H20"/>
      <c r="O20" s="481"/>
    </row>
    <row r="21" spans="1:15" x14ac:dyDescent="0.35">
      <c r="A21" s="480"/>
      <c r="C21" s="480"/>
      <c r="H21"/>
      <c r="O21" s="481"/>
    </row>
    <row r="22" spans="1:15" x14ac:dyDescent="0.35">
      <c r="A22" s="480"/>
      <c r="C22" s="480"/>
      <c r="H22"/>
      <c r="O22" s="481"/>
    </row>
    <row r="23" spans="1:15" x14ac:dyDescent="0.35">
      <c r="A23" s="480"/>
      <c r="C23" s="480"/>
      <c r="H23"/>
      <c r="O23" s="481"/>
    </row>
    <row r="24" spans="1:15" x14ac:dyDescent="0.35">
      <c r="A24" s="480"/>
      <c r="C24" s="480"/>
      <c r="H24"/>
      <c r="O24" s="481"/>
    </row>
    <row r="25" spans="1:15" ht="15" thickBot="1" x14ac:dyDescent="0.4">
      <c r="A25" s="482"/>
      <c r="B25" s="485"/>
      <c r="C25" s="480"/>
      <c r="H25"/>
      <c r="O25" s="481"/>
    </row>
    <row r="26" spans="1:15" x14ac:dyDescent="0.35">
      <c r="C26" s="480"/>
      <c r="H26"/>
      <c r="O26" s="481"/>
    </row>
    <row r="27" spans="1:15" x14ac:dyDescent="0.35">
      <c r="C27" s="480"/>
      <c r="H27"/>
      <c r="O27" s="481"/>
    </row>
    <row r="28" spans="1:15" x14ac:dyDescent="0.35">
      <c r="C28" s="480"/>
      <c r="H28"/>
      <c r="O28" s="481"/>
    </row>
    <row r="29" spans="1:15" x14ac:dyDescent="0.35">
      <c r="C29" s="480"/>
      <c r="H29"/>
      <c r="O29" s="481"/>
    </row>
    <row r="30" spans="1:15" x14ac:dyDescent="0.35">
      <c r="C30" s="480"/>
      <c r="H30"/>
      <c r="O30" s="481"/>
    </row>
    <row r="31" spans="1:15" x14ac:dyDescent="0.35">
      <c r="C31" s="480"/>
      <c r="H31"/>
      <c r="O31" s="481"/>
    </row>
    <row r="32" spans="1:15" x14ac:dyDescent="0.35">
      <c r="C32" s="480"/>
      <c r="H32"/>
      <c r="O32" s="481"/>
    </row>
    <row r="33" spans="3:15" x14ac:dyDescent="0.35">
      <c r="C33" s="480"/>
      <c r="H33"/>
      <c r="O33" s="481"/>
    </row>
    <row r="34" spans="3:15" x14ac:dyDescent="0.35">
      <c r="C34" s="480"/>
      <c r="H34"/>
      <c r="O34" s="481"/>
    </row>
    <row r="35" spans="3:15" x14ac:dyDescent="0.35">
      <c r="C35" s="480"/>
      <c r="H35"/>
      <c r="O35" s="481"/>
    </row>
    <row r="36" spans="3:15" x14ac:dyDescent="0.35">
      <c r="C36" s="480"/>
      <c r="H36"/>
      <c r="O36" s="481"/>
    </row>
    <row r="37" spans="3:15" x14ac:dyDescent="0.35">
      <c r="C37" s="480"/>
      <c r="H37"/>
      <c r="O37" s="481"/>
    </row>
    <row r="38" spans="3:15" x14ac:dyDescent="0.35">
      <c r="C38" s="480"/>
      <c r="H38"/>
      <c r="O38" s="481"/>
    </row>
    <row r="39" spans="3:15" x14ac:dyDescent="0.35">
      <c r="C39" s="480"/>
      <c r="H39"/>
      <c r="O39" s="481"/>
    </row>
    <row r="40" spans="3:15" x14ac:dyDescent="0.35">
      <c r="C40" s="480"/>
      <c r="H40"/>
      <c r="O40" s="481"/>
    </row>
    <row r="41" spans="3:15" x14ac:dyDescent="0.35">
      <c r="C41" s="480"/>
      <c r="H41"/>
      <c r="O41" s="481"/>
    </row>
    <row r="42" spans="3:15" x14ac:dyDescent="0.35">
      <c r="C42" s="480"/>
      <c r="H42"/>
      <c r="O42" s="481"/>
    </row>
    <row r="43" spans="3:15" x14ac:dyDescent="0.35">
      <c r="C43" s="480"/>
      <c r="H43"/>
      <c r="O43" s="481"/>
    </row>
    <row r="44" spans="3:15" x14ac:dyDescent="0.35">
      <c r="C44" s="480"/>
      <c r="H44"/>
      <c r="O44" s="481"/>
    </row>
    <row r="45" spans="3:15" x14ac:dyDescent="0.35">
      <c r="C45" s="480"/>
      <c r="H45"/>
      <c r="O45" s="481"/>
    </row>
    <row r="46" spans="3:15" x14ac:dyDescent="0.35">
      <c r="C46" s="480"/>
      <c r="H46"/>
      <c r="O46" s="481"/>
    </row>
    <row r="47" spans="3:15" x14ac:dyDescent="0.35">
      <c r="C47" s="480"/>
      <c r="H47"/>
      <c r="O47" s="481"/>
    </row>
    <row r="48" spans="3:15" x14ac:dyDescent="0.35">
      <c r="C48" s="480"/>
      <c r="H48"/>
      <c r="O48" s="481"/>
    </row>
    <row r="49" spans="3:15" x14ac:dyDescent="0.35">
      <c r="C49" s="480"/>
      <c r="H49"/>
      <c r="O49" s="481"/>
    </row>
    <row r="50" spans="3:15" ht="15" thickBot="1" x14ac:dyDescent="0.4">
      <c r="C50" s="482"/>
      <c r="D50" s="490"/>
      <c r="E50" s="490"/>
      <c r="F50" s="490"/>
      <c r="G50" s="490"/>
      <c r="H50" s="485"/>
      <c r="I50" s="490"/>
      <c r="J50" s="490"/>
      <c r="K50" s="491"/>
      <c r="L50" s="490"/>
      <c r="M50" s="490"/>
      <c r="N50" s="490"/>
      <c r="O50" s="483"/>
    </row>
    <row r="51" spans="3:15" x14ac:dyDescent="0.35">
      <c r="H51"/>
    </row>
    <row r="52" spans="3:15" x14ac:dyDescent="0.35">
      <c r="H52"/>
    </row>
    <row r="53" spans="3:15" x14ac:dyDescent="0.35">
      <c r="H53"/>
    </row>
    <row r="54" spans="3:15" x14ac:dyDescent="0.35">
      <c r="H54"/>
    </row>
    <row r="55" spans="3:15" x14ac:dyDescent="0.35">
      <c r="H55"/>
    </row>
    <row r="56" spans="3:15" x14ac:dyDescent="0.35">
      <c r="H56"/>
    </row>
    <row r="57" spans="3:15" x14ac:dyDescent="0.35">
      <c r="H57"/>
    </row>
    <row r="58" spans="3:15" x14ac:dyDescent="0.35">
      <c r="H58"/>
    </row>
    <row r="59" spans="3:15" x14ac:dyDescent="0.35">
      <c r="H59"/>
    </row>
    <row r="60" spans="3:15" x14ac:dyDescent="0.35">
      <c r="H60"/>
    </row>
    <row r="61" spans="3:15" x14ac:dyDescent="0.35">
      <c r="H61"/>
    </row>
    <row r="62" spans="3:15" x14ac:dyDescent="0.35">
      <c r="H62"/>
    </row>
    <row r="63" spans="3:15" x14ac:dyDescent="0.35">
      <c r="H63"/>
    </row>
    <row r="64" spans="3:15" x14ac:dyDescent="0.35">
      <c r="H64"/>
    </row>
    <row r="65" spans="8:8" x14ac:dyDescent="0.35">
      <c r="H65"/>
    </row>
    <row r="66" spans="8:8" x14ac:dyDescent="0.35">
      <c r="H66"/>
    </row>
    <row r="67" spans="8:8" x14ac:dyDescent="0.35">
      <c r="H67"/>
    </row>
    <row r="68" spans="8:8" x14ac:dyDescent="0.35">
      <c r="H68"/>
    </row>
    <row r="69" spans="8:8" x14ac:dyDescent="0.35">
      <c r="H69"/>
    </row>
    <row r="70" spans="8:8" x14ac:dyDescent="0.35">
      <c r="H70"/>
    </row>
    <row r="71" spans="8:8" x14ac:dyDescent="0.35">
      <c r="H71"/>
    </row>
    <row r="72" spans="8:8" x14ac:dyDescent="0.35">
      <c r="H72"/>
    </row>
    <row r="73" spans="8:8" x14ac:dyDescent="0.35">
      <c r="H73"/>
    </row>
    <row r="74" spans="8:8" x14ac:dyDescent="0.35">
      <c r="H74"/>
    </row>
    <row r="75" spans="8:8" x14ac:dyDescent="0.35">
      <c r="H75"/>
    </row>
    <row r="76" spans="8:8" x14ac:dyDescent="0.35">
      <c r="H76"/>
    </row>
    <row r="77" spans="8:8" x14ac:dyDescent="0.35">
      <c r="H77"/>
    </row>
    <row r="78" spans="8:8" x14ac:dyDescent="0.35">
      <c r="H78"/>
    </row>
    <row r="79" spans="8:8" x14ac:dyDescent="0.35">
      <c r="H79"/>
    </row>
    <row r="80" spans="8:8" x14ac:dyDescent="0.35">
      <c r="H80"/>
    </row>
    <row r="81" spans="8:8" x14ac:dyDescent="0.35">
      <c r="H81"/>
    </row>
    <row r="82" spans="8:8" x14ac:dyDescent="0.35">
      <c r="H82"/>
    </row>
    <row r="83" spans="8:8" x14ac:dyDescent="0.35">
      <c r="H83"/>
    </row>
    <row r="84" spans="8:8" x14ac:dyDescent="0.35">
      <c r="H84"/>
    </row>
    <row r="85" spans="8:8" x14ac:dyDescent="0.35">
      <c r="H85"/>
    </row>
    <row r="86" spans="8:8" x14ac:dyDescent="0.35">
      <c r="H86"/>
    </row>
    <row r="87" spans="8:8" x14ac:dyDescent="0.35">
      <c r="H87"/>
    </row>
    <row r="88" spans="8:8" x14ac:dyDescent="0.35">
      <c r="H88"/>
    </row>
    <row r="89" spans="8:8" x14ac:dyDescent="0.35">
      <c r="H89"/>
    </row>
    <row r="90" spans="8:8" x14ac:dyDescent="0.35">
      <c r="H90"/>
    </row>
    <row r="91" spans="8:8" x14ac:dyDescent="0.35">
      <c r="H91"/>
    </row>
    <row r="92" spans="8:8" x14ac:dyDescent="0.35">
      <c r="H92"/>
    </row>
    <row r="93" spans="8:8" x14ac:dyDescent="0.35">
      <c r="H93"/>
    </row>
    <row r="94" spans="8:8" x14ac:dyDescent="0.35">
      <c r="H94"/>
    </row>
    <row r="95" spans="8:8" x14ac:dyDescent="0.35">
      <c r="H95"/>
    </row>
    <row r="96" spans="8:8" x14ac:dyDescent="0.35">
      <c r="H96"/>
    </row>
    <row r="97" spans="8:8" x14ac:dyDescent="0.35">
      <c r="H97"/>
    </row>
    <row r="98" spans="8:8" x14ac:dyDescent="0.35">
      <c r="H98"/>
    </row>
    <row r="99" spans="8:8" x14ac:dyDescent="0.35">
      <c r="H99"/>
    </row>
    <row r="100" spans="8:8" x14ac:dyDescent="0.35">
      <c r="H100"/>
    </row>
    <row r="101" spans="8:8" x14ac:dyDescent="0.35">
      <c r="H101"/>
    </row>
    <row r="102" spans="8:8" x14ac:dyDescent="0.35">
      <c r="H102"/>
    </row>
    <row r="103" spans="8:8" x14ac:dyDescent="0.35">
      <c r="H103"/>
    </row>
    <row r="104" spans="8:8" x14ac:dyDescent="0.35">
      <c r="H104"/>
    </row>
    <row r="105" spans="8:8" x14ac:dyDescent="0.35">
      <c r="H105"/>
    </row>
    <row r="106" spans="8:8" x14ac:dyDescent="0.35">
      <c r="H106"/>
    </row>
    <row r="107" spans="8:8" x14ac:dyDescent="0.35">
      <c r="H107"/>
    </row>
    <row r="108" spans="8:8" x14ac:dyDescent="0.35">
      <c r="H108"/>
    </row>
    <row r="109" spans="8:8" x14ac:dyDescent="0.35">
      <c r="H109"/>
    </row>
    <row r="110" spans="8:8" x14ac:dyDescent="0.35">
      <c r="H110"/>
    </row>
    <row r="111" spans="8:8" x14ac:dyDescent="0.35">
      <c r="H111"/>
    </row>
    <row r="112" spans="8:8" x14ac:dyDescent="0.35">
      <c r="H112"/>
    </row>
    <row r="113" spans="8:8" x14ac:dyDescent="0.35">
      <c r="H113"/>
    </row>
    <row r="114" spans="8:8" x14ac:dyDescent="0.35">
      <c r="H114"/>
    </row>
    <row r="115" spans="8:8" x14ac:dyDescent="0.35">
      <c r="H115"/>
    </row>
    <row r="116" spans="8:8" x14ac:dyDescent="0.35">
      <c r="H116"/>
    </row>
    <row r="117" spans="8:8" x14ac:dyDescent="0.35">
      <c r="H117"/>
    </row>
    <row r="118" spans="8:8" x14ac:dyDescent="0.35">
      <c r="H118"/>
    </row>
    <row r="119" spans="8:8" x14ac:dyDescent="0.35">
      <c r="H119"/>
    </row>
    <row r="120" spans="8:8" x14ac:dyDescent="0.35">
      <c r="H120"/>
    </row>
    <row r="121" spans="8:8" x14ac:dyDescent="0.35">
      <c r="H121"/>
    </row>
    <row r="122" spans="8:8" x14ac:dyDescent="0.35">
      <c r="H122"/>
    </row>
    <row r="123" spans="8:8" x14ac:dyDescent="0.35">
      <c r="H123"/>
    </row>
    <row r="124" spans="8:8" x14ac:dyDescent="0.35">
      <c r="H124"/>
    </row>
    <row r="125" spans="8:8" x14ac:dyDescent="0.35">
      <c r="H125"/>
    </row>
    <row r="126" spans="8:8" x14ac:dyDescent="0.35">
      <c r="H126"/>
    </row>
    <row r="127" spans="8:8" x14ac:dyDescent="0.35">
      <c r="H127"/>
    </row>
    <row r="128" spans="8:8" x14ac:dyDescent="0.35">
      <c r="H128"/>
    </row>
    <row r="129" spans="8:8" x14ac:dyDescent="0.35">
      <c r="H129"/>
    </row>
    <row r="130" spans="8:8" x14ac:dyDescent="0.35">
      <c r="H130"/>
    </row>
    <row r="131" spans="8:8" x14ac:dyDescent="0.35">
      <c r="H131"/>
    </row>
    <row r="132" spans="8:8" x14ac:dyDescent="0.35">
      <c r="H132"/>
    </row>
    <row r="133" spans="8:8" x14ac:dyDescent="0.35">
      <c r="H133"/>
    </row>
    <row r="134" spans="8:8" x14ac:dyDescent="0.35">
      <c r="H134"/>
    </row>
    <row r="135" spans="8:8" x14ac:dyDescent="0.35">
      <c r="H135"/>
    </row>
    <row r="136" spans="8:8" x14ac:dyDescent="0.35">
      <c r="H136"/>
    </row>
    <row r="137" spans="8:8" x14ac:dyDescent="0.35">
      <c r="H137"/>
    </row>
    <row r="138" spans="8:8" x14ac:dyDescent="0.35">
      <c r="H138"/>
    </row>
    <row r="139" spans="8:8" x14ac:dyDescent="0.35">
      <c r="H139"/>
    </row>
    <row r="140" spans="8:8" x14ac:dyDescent="0.35">
      <c r="H140"/>
    </row>
    <row r="141" spans="8:8" x14ac:dyDescent="0.35">
      <c r="H141"/>
    </row>
    <row r="142" spans="8:8" x14ac:dyDescent="0.35">
      <c r="H142"/>
    </row>
    <row r="143" spans="8:8" x14ac:dyDescent="0.35">
      <c r="H143"/>
    </row>
    <row r="144" spans="8:8" x14ac:dyDescent="0.35">
      <c r="H144"/>
    </row>
    <row r="145" spans="8:8" x14ac:dyDescent="0.35">
      <c r="H145"/>
    </row>
    <row r="146" spans="8:8" x14ac:dyDescent="0.35">
      <c r="H146"/>
    </row>
    <row r="147" spans="8:8" x14ac:dyDescent="0.35">
      <c r="H147"/>
    </row>
    <row r="148" spans="8:8" x14ac:dyDescent="0.35">
      <c r="H148"/>
    </row>
    <row r="149" spans="8:8" x14ac:dyDescent="0.35">
      <c r="H149"/>
    </row>
    <row r="150" spans="8:8" x14ac:dyDescent="0.35">
      <c r="H150"/>
    </row>
    <row r="151" spans="8:8" x14ac:dyDescent="0.35">
      <c r="H151"/>
    </row>
    <row r="152" spans="8:8" x14ac:dyDescent="0.35">
      <c r="H152"/>
    </row>
    <row r="153" spans="8:8" x14ac:dyDescent="0.35">
      <c r="H153"/>
    </row>
    <row r="154" spans="8:8" x14ac:dyDescent="0.35">
      <c r="H154"/>
    </row>
    <row r="155" spans="8:8" x14ac:dyDescent="0.35">
      <c r="H155"/>
    </row>
    <row r="156" spans="8:8" x14ac:dyDescent="0.35">
      <c r="H156"/>
    </row>
    <row r="157" spans="8:8" x14ac:dyDescent="0.35">
      <c r="H157"/>
    </row>
    <row r="158" spans="8:8" x14ac:dyDescent="0.35">
      <c r="H158"/>
    </row>
    <row r="159" spans="8:8" x14ac:dyDescent="0.35">
      <c r="H159"/>
    </row>
    <row r="160" spans="8:8" x14ac:dyDescent="0.35">
      <c r="H160"/>
    </row>
    <row r="161" spans="8:8" x14ac:dyDescent="0.35">
      <c r="H161"/>
    </row>
    <row r="162" spans="8:8" x14ac:dyDescent="0.35">
      <c r="H162"/>
    </row>
    <row r="163" spans="8:8" x14ac:dyDescent="0.35">
      <c r="H163"/>
    </row>
    <row r="164" spans="8:8" x14ac:dyDescent="0.35">
      <c r="H164"/>
    </row>
    <row r="165" spans="8:8" x14ac:dyDescent="0.35">
      <c r="H165"/>
    </row>
    <row r="166" spans="8:8" x14ac:dyDescent="0.35">
      <c r="H166"/>
    </row>
    <row r="167" spans="8:8" x14ac:dyDescent="0.35">
      <c r="H167"/>
    </row>
    <row r="168" spans="8:8" x14ac:dyDescent="0.35">
      <c r="H168"/>
    </row>
    <row r="169" spans="8:8" x14ac:dyDescent="0.35">
      <c r="H169"/>
    </row>
    <row r="170" spans="8:8" x14ac:dyDescent="0.35">
      <c r="H170"/>
    </row>
    <row r="171" spans="8:8" x14ac:dyDescent="0.35">
      <c r="H171"/>
    </row>
    <row r="172" spans="8:8" x14ac:dyDescent="0.35">
      <c r="H172"/>
    </row>
    <row r="173" spans="8:8" x14ac:dyDescent="0.35">
      <c r="H173"/>
    </row>
    <row r="174" spans="8:8" x14ac:dyDescent="0.35">
      <c r="H174"/>
    </row>
    <row r="175" spans="8:8" x14ac:dyDescent="0.35">
      <c r="H175"/>
    </row>
    <row r="176" spans="8:8" x14ac:dyDescent="0.35">
      <c r="H176"/>
    </row>
    <row r="177" spans="8:8" x14ac:dyDescent="0.35">
      <c r="H177"/>
    </row>
    <row r="178" spans="8:8" x14ac:dyDescent="0.35">
      <c r="H178"/>
    </row>
    <row r="179" spans="8:8" x14ac:dyDescent="0.35">
      <c r="H179"/>
    </row>
    <row r="180" spans="8:8" x14ac:dyDescent="0.35">
      <c r="H180"/>
    </row>
    <row r="181" spans="8:8" x14ac:dyDescent="0.35">
      <c r="H181"/>
    </row>
    <row r="182" spans="8:8" x14ac:dyDescent="0.35">
      <c r="H182"/>
    </row>
    <row r="183" spans="8:8" x14ac:dyDescent="0.35">
      <c r="H183"/>
    </row>
    <row r="184" spans="8:8" x14ac:dyDescent="0.35">
      <c r="H184"/>
    </row>
    <row r="185" spans="8:8" x14ac:dyDescent="0.35">
      <c r="H185"/>
    </row>
    <row r="186" spans="8:8" x14ac:dyDescent="0.35">
      <c r="H186"/>
    </row>
    <row r="187" spans="8:8" x14ac:dyDescent="0.35">
      <c r="H187"/>
    </row>
    <row r="188" spans="8:8" x14ac:dyDescent="0.35">
      <c r="H188"/>
    </row>
    <row r="189" spans="8:8" x14ac:dyDescent="0.35">
      <c r="H189"/>
    </row>
    <row r="190" spans="8:8" x14ac:dyDescent="0.35">
      <c r="H190"/>
    </row>
    <row r="191" spans="8:8" x14ac:dyDescent="0.35">
      <c r="H191"/>
    </row>
    <row r="192" spans="8:8" x14ac:dyDescent="0.35">
      <c r="H192"/>
    </row>
    <row r="193" spans="8:8" x14ac:dyDescent="0.35">
      <c r="H193"/>
    </row>
    <row r="194" spans="8:8" x14ac:dyDescent="0.35">
      <c r="H194"/>
    </row>
    <row r="195" spans="8:8" x14ac:dyDescent="0.35">
      <c r="H195"/>
    </row>
    <row r="196" spans="8:8" x14ac:dyDescent="0.35">
      <c r="H196"/>
    </row>
    <row r="197" spans="8:8" x14ac:dyDescent="0.35">
      <c r="H197"/>
    </row>
    <row r="198" spans="8:8" x14ac:dyDescent="0.35">
      <c r="H198"/>
    </row>
    <row r="199" spans="8:8" x14ac:dyDescent="0.35">
      <c r="H199"/>
    </row>
    <row r="200" spans="8:8" x14ac:dyDescent="0.35">
      <c r="H200"/>
    </row>
    <row r="201" spans="8:8" x14ac:dyDescent="0.35">
      <c r="H201"/>
    </row>
    <row r="202" spans="8:8" x14ac:dyDescent="0.35">
      <c r="H202"/>
    </row>
    <row r="203" spans="8:8" x14ac:dyDescent="0.35">
      <c r="H203"/>
    </row>
    <row r="204" spans="8:8" x14ac:dyDescent="0.35">
      <c r="H204"/>
    </row>
    <row r="205" spans="8:8" x14ac:dyDescent="0.35">
      <c r="H205"/>
    </row>
    <row r="206" spans="8:8" x14ac:dyDescent="0.35">
      <c r="H206"/>
    </row>
    <row r="207" spans="8:8" x14ac:dyDescent="0.35">
      <c r="H207"/>
    </row>
    <row r="208" spans="8:8" x14ac:dyDescent="0.35">
      <c r="H208"/>
    </row>
    <row r="209" spans="8:8" x14ac:dyDescent="0.35">
      <c r="H209"/>
    </row>
    <row r="210" spans="8:8" x14ac:dyDescent="0.35">
      <c r="H210"/>
    </row>
    <row r="211" spans="8:8" x14ac:dyDescent="0.35">
      <c r="H211"/>
    </row>
    <row r="212" spans="8:8" x14ac:dyDescent="0.35">
      <c r="H212"/>
    </row>
    <row r="213" spans="8:8" x14ac:dyDescent="0.35">
      <c r="H213"/>
    </row>
    <row r="214" spans="8:8" x14ac:dyDescent="0.35">
      <c r="H214"/>
    </row>
    <row r="215" spans="8:8" x14ac:dyDescent="0.35">
      <c r="H215"/>
    </row>
    <row r="216" spans="8:8" x14ac:dyDescent="0.35">
      <c r="H216"/>
    </row>
    <row r="217" spans="8:8" x14ac:dyDescent="0.35">
      <c r="H217"/>
    </row>
    <row r="218" spans="8:8" x14ac:dyDescent="0.35">
      <c r="H218"/>
    </row>
    <row r="219" spans="8:8" x14ac:dyDescent="0.35">
      <c r="H219"/>
    </row>
    <row r="220" spans="8:8" x14ac:dyDescent="0.35">
      <c r="H220"/>
    </row>
    <row r="221" spans="8:8" x14ac:dyDescent="0.35">
      <c r="H221"/>
    </row>
    <row r="222" spans="8:8" x14ac:dyDescent="0.35">
      <c r="H222"/>
    </row>
    <row r="223" spans="8:8" x14ac:dyDescent="0.35">
      <c r="H223"/>
    </row>
    <row r="224" spans="8:8" x14ac:dyDescent="0.35">
      <c r="H224"/>
    </row>
    <row r="225" spans="8:8" x14ac:dyDescent="0.35">
      <c r="H225"/>
    </row>
    <row r="226" spans="8:8" x14ac:dyDescent="0.35">
      <c r="H226"/>
    </row>
    <row r="227" spans="8:8" x14ac:dyDescent="0.35">
      <c r="H227"/>
    </row>
    <row r="228" spans="8:8" x14ac:dyDescent="0.35">
      <c r="H228"/>
    </row>
    <row r="229" spans="8:8" x14ac:dyDescent="0.35">
      <c r="H229"/>
    </row>
    <row r="230" spans="8:8" x14ac:dyDescent="0.35">
      <c r="H230"/>
    </row>
    <row r="231" spans="8:8" x14ac:dyDescent="0.35">
      <c r="H231"/>
    </row>
    <row r="232" spans="8:8" x14ac:dyDescent="0.35">
      <c r="H232"/>
    </row>
    <row r="233" spans="8:8" x14ac:dyDescent="0.35">
      <c r="H233"/>
    </row>
    <row r="234" spans="8:8" x14ac:dyDescent="0.35">
      <c r="H234"/>
    </row>
    <row r="235" spans="8:8" x14ac:dyDescent="0.35">
      <c r="H235"/>
    </row>
    <row r="236" spans="8:8" x14ac:dyDescent="0.35">
      <c r="H236"/>
    </row>
    <row r="237" spans="8:8" x14ac:dyDescent="0.35">
      <c r="H237"/>
    </row>
    <row r="238" spans="8:8" x14ac:dyDescent="0.35">
      <c r="H238"/>
    </row>
    <row r="239" spans="8:8" x14ac:dyDescent="0.35">
      <c r="H239"/>
    </row>
    <row r="240" spans="8:8" x14ac:dyDescent="0.35">
      <c r="H240"/>
    </row>
    <row r="241" spans="8:8" x14ac:dyDescent="0.35">
      <c r="H241"/>
    </row>
    <row r="242" spans="8:8" x14ac:dyDescent="0.35">
      <c r="H242"/>
    </row>
    <row r="243" spans="8:8" x14ac:dyDescent="0.35">
      <c r="H243"/>
    </row>
    <row r="244" spans="8:8" x14ac:dyDescent="0.35">
      <c r="H244"/>
    </row>
    <row r="245" spans="8:8" x14ac:dyDescent="0.35">
      <c r="H245"/>
    </row>
    <row r="246" spans="8:8" x14ac:dyDescent="0.35">
      <c r="H246"/>
    </row>
    <row r="247" spans="8:8" x14ac:dyDescent="0.35">
      <c r="H247"/>
    </row>
    <row r="248" spans="8:8" x14ac:dyDescent="0.35">
      <c r="H248"/>
    </row>
    <row r="249" spans="8:8" x14ac:dyDescent="0.35">
      <c r="H249"/>
    </row>
    <row r="250" spans="8:8" x14ac:dyDescent="0.35">
      <c r="H250"/>
    </row>
    <row r="251" spans="8:8" x14ac:dyDescent="0.35">
      <c r="H251"/>
    </row>
    <row r="252" spans="8:8" x14ac:dyDescent="0.35">
      <c r="H252"/>
    </row>
    <row r="253" spans="8:8" x14ac:dyDescent="0.35">
      <c r="H253"/>
    </row>
    <row r="254" spans="8:8" x14ac:dyDescent="0.35">
      <c r="H254"/>
    </row>
    <row r="255" spans="8:8" x14ac:dyDescent="0.3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796875" defaultRowHeight="14.5" x14ac:dyDescent="0.35"/>
  <cols>
    <col min="1" max="1" width="24.54296875" style="68" hidden="1" customWidth="1"/>
    <col min="2" max="2" width="20.7265625" style="66" hidden="1" customWidth="1"/>
    <col min="3" max="3" width="3.453125" style="190" hidden="1" customWidth="1"/>
    <col min="4" max="4" width="22.54296875" style="190" hidden="1" customWidth="1"/>
    <col min="5" max="5" width="2.54296875" style="190" hidden="1" customWidth="1"/>
    <col min="6" max="6" width="1.81640625" style="190" hidden="1" customWidth="1"/>
    <col min="7" max="7" width="24" style="190" hidden="1" customWidth="1"/>
    <col min="8" max="8" width="1.81640625" style="190" hidden="1" customWidth="1"/>
    <col min="9" max="11" width="0.453125" style="190" hidden="1" customWidth="1"/>
    <col min="12" max="12" width="31.7265625" style="190" hidden="1" customWidth="1"/>
    <col min="13" max="13" width="9.54296875" style="244" hidden="1" customWidth="1"/>
    <col min="14" max="14" width="13.1796875" style="190" hidden="1" customWidth="1"/>
    <col min="15" max="15" width="14.26953125" style="190" hidden="1" customWidth="1"/>
    <col min="16" max="16" width="12.453125" style="190" hidden="1" customWidth="1"/>
    <col min="17" max="17" width="12.7265625" style="190" hidden="1" customWidth="1"/>
    <col min="18" max="19" width="13.81640625" style="190" hidden="1" customWidth="1"/>
    <col min="20" max="20" width="13.26953125" style="190" hidden="1" customWidth="1"/>
    <col min="21" max="21" width="15.81640625" style="190" hidden="1" customWidth="1"/>
    <col min="22" max="22" width="14" style="190" hidden="1" customWidth="1"/>
    <col min="23" max="23" width="12.1796875" style="190" hidden="1" customWidth="1"/>
    <col min="24" max="24" width="3.54296875" style="190" hidden="1" customWidth="1"/>
    <col min="25" max="25" width="12.1796875" style="190" hidden="1" customWidth="1"/>
    <col min="26" max="39" width="8.7265625" style="190" hidden="1" customWidth="1"/>
    <col min="40" max="40" width="2.54296875" style="190" hidden="1" customWidth="1"/>
    <col min="41" max="41" width="25.54296875" style="190" hidden="1" customWidth="1"/>
    <col min="42" max="42" width="3.1796875" style="190" hidden="1" customWidth="1"/>
    <col min="43" max="43" width="21" style="190" hidden="1" customWidth="1"/>
    <col min="44" max="44" width="13.7265625" style="190" hidden="1" customWidth="1"/>
    <col min="45" max="45" width="16.54296875" style="190" hidden="1" customWidth="1"/>
    <col min="46" max="46" width="14.453125" style="190" hidden="1" customWidth="1"/>
    <col min="47" max="49" width="2.1796875" style="190" hidden="1" customWidth="1"/>
    <col min="50" max="50" width="22.26953125" style="190" hidden="1" customWidth="1"/>
    <col min="51" max="51" width="5.81640625" style="190" hidden="1" customWidth="1"/>
    <col min="52" max="52" width="12.54296875" style="190" hidden="1" customWidth="1"/>
    <col min="53" max="53" width="8.54296875" style="190" hidden="1" customWidth="1"/>
    <col min="54" max="54" width="10.1796875" style="190" hidden="1" customWidth="1"/>
    <col min="55" max="57" width="2.1796875" style="190" hidden="1" customWidth="1"/>
    <col min="58" max="58" width="15.81640625" style="190" hidden="1" customWidth="1"/>
    <col min="59" max="59" width="9.7265625" style="244" hidden="1" customWidth="1"/>
    <col min="60" max="60" width="23.1796875" style="190" hidden="1" customWidth="1"/>
    <col min="61" max="61" width="37.1796875" style="190" hidden="1" customWidth="1"/>
    <col min="62" max="62" width="2.453125" style="190" hidden="1" customWidth="1"/>
    <col min="63" max="63" width="11.54296875" style="249" hidden="1" customWidth="1"/>
    <col min="64" max="64" width="11.54296875" style="250" hidden="1" customWidth="1"/>
    <col min="65" max="65" width="11.54296875" style="251" hidden="1" customWidth="1"/>
    <col min="66" max="66" width="11.54296875" style="250" hidden="1" customWidth="1"/>
    <col min="67" max="67" width="13.1796875" style="251" hidden="1" customWidth="1"/>
    <col min="68" max="68" width="14.26953125" style="190" hidden="1" customWidth="1"/>
    <col min="69" max="71" width="50.54296875" style="190" hidden="1" customWidth="1"/>
    <col min="72" max="73" width="8.7265625" style="190" hidden="1" customWidth="1"/>
    <col min="74" max="74" width="2.54296875" style="190" hidden="1" customWidth="1"/>
    <col min="75" max="75" width="1.7265625" style="190" hidden="1" customWidth="1"/>
    <col min="76" max="76" width="24.81640625" style="190" hidden="1" customWidth="1"/>
    <col min="77" max="77" width="1.54296875" style="190" hidden="1" customWidth="1"/>
    <col min="78" max="78" width="12.453125" style="190" hidden="1" customWidth="1"/>
    <col min="79" max="79" width="56.26953125" style="190" hidden="1" customWidth="1"/>
    <col min="80" max="80" width="9.54296875" style="190" hidden="1" customWidth="1"/>
    <col min="81" max="81" width="10.453125" style="190" hidden="1" customWidth="1"/>
    <col min="82" max="82" width="10.81640625" style="344" hidden="1" customWidth="1"/>
    <col min="83" max="83" width="10.81640625" style="190" hidden="1" customWidth="1"/>
    <col min="84" max="84" width="9.7265625" style="244" hidden="1" customWidth="1"/>
    <col min="85" max="86" width="8.81640625" style="238" hidden="1" customWidth="1"/>
    <col min="87" max="87" width="6.7265625" style="238" hidden="1" customWidth="1"/>
    <col min="88" max="88" width="10.26953125" style="252" hidden="1" customWidth="1"/>
    <col min="89" max="89" width="11.81640625" style="252" hidden="1" customWidth="1"/>
    <col min="90" max="90" width="8.81640625" style="252" hidden="1" customWidth="1"/>
    <col min="91" max="91" width="11.54296875" style="252" hidden="1" customWidth="1"/>
    <col min="92" max="94" width="8.81640625" style="253" hidden="1" customWidth="1"/>
    <col min="95" max="95" width="15.26953125" style="253" hidden="1" customWidth="1"/>
    <col min="96" max="96" width="11.1796875" style="190" hidden="1" customWidth="1"/>
    <col min="97" max="97" width="12.1796875" style="190" hidden="1" customWidth="1"/>
    <col min="98" max="98" width="13.26953125" style="190" hidden="1" customWidth="1"/>
    <col min="99" max="99" width="11" style="344" hidden="1" customWidth="1"/>
    <col min="100" max="100" width="1.26953125" style="190" hidden="1" customWidth="1"/>
    <col min="101" max="101" width="2.1796875" style="190" hidden="1" customWidth="1"/>
    <col min="102" max="102" width="13.7265625" style="190" hidden="1" customWidth="1"/>
    <col min="103" max="103" width="12.81640625" style="190" hidden="1" customWidth="1"/>
    <col min="104" max="104" width="2.7265625" style="190" hidden="1" customWidth="1"/>
    <col min="105" max="105" width="12.54296875" style="190" hidden="1" customWidth="1"/>
    <col min="106" max="106" width="2.26953125" style="246" hidden="1" customWidth="1"/>
    <col min="107" max="111" width="15.54296875" style="190" hidden="1" customWidth="1"/>
    <col min="112" max="112" width="15.54296875" style="243" hidden="1" customWidth="1"/>
    <col min="113" max="120" width="15.54296875" style="190" hidden="1" customWidth="1"/>
    <col min="121" max="131" width="8.7265625" style="190" hidden="1" customWidth="1"/>
    <col min="132" max="132" width="2.7265625" style="190" hidden="1" customWidth="1"/>
    <col min="133" max="133" width="22.54296875" style="190" hidden="1" customWidth="1"/>
    <col min="134" max="134" width="2.7265625" style="190" hidden="1" customWidth="1"/>
    <col min="135" max="135" width="16.54296875" style="190" hidden="1" customWidth="1"/>
    <col min="136" max="136" width="64.7265625" style="244" hidden="1" customWidth="1"/>
    <col min="137" max="141" width="18.1796875" style="190" hidden="1" customWidth="1"/>
    <col min="142" max="142" width="3.26953125" style="190" hidden="1" customWidth="1"/>
    <col min="143" max="156" width="15.54296875" style="190" hidden="1" customWidth="1"/>
    <col min="157" max="157" width="3.1796875" style="190" hidden="1" customWidth="1"/>
    <col min="158" max="158" width="25.54296875" style="190" hidden="1" customWidth="1"/>
    <col min="159" max="159" width="3.1796875" style="190" hidden="1" customWidth="1"/>
    <col min="160" max="160" width="3" style="190" hidden="1" customWidth="1"/>
    <col min="161" max="164" width="15.7265625" style="190" hidden="1" customWidth="1"/>
    <col min="165" max="165" width="5.1796875" style="190" hidden="1" customWidth="1"/>
    <col min="166" max="166" width="3.26953125" style="190" hidden="1" customWidth="1"/>
    <col min="167" max="187" width="15.7265625" style="190" hidden="1" customWidth="1"/>
    <col min="188" max="216" width="6.81640625" style="190" hidden="1" customWidth="1"/>
    <col min="217" max="218" width="7.54296875" style="190" hidden="1" customWidth="1"/>
    <col min="219" max="220" width="7.7265625" style="190" hidden="1" customWidth="1"/>
    <col min="221" max="221" width="2.453125" style="190" hidden="1" customWidth="1"/>
    <col min="222" max="222" width="9.1796875" style="190" hidden="1" customWidth="1"/>
    <col min="223" max="223" width="2.54296875" style="190" hidden="1" customWidth="1"/>
    <col min="224" max="237" width="9.1796875" style="190" hidden="1" customWidth="1"/>
    <col min="238" max="625" width="9.1796875" hidden="1" customWidth="1"/>
    <col min="626" max="677" width="9.1796875" style="190" hidden="1" customWidth="1"/>
    <col min="678" max="678" width="8.7265625" style="190" hidden="1" customWidth="1"/>
    <col min="679" max="679" width="2.54296875" style="190" customWidth="1"/>
    <col min="680" max="680" width="25.54296875" style="190" customWidth="1"/>
    <col min="681" max="681" width="2.54296875" style="190" customWidth="1"/>
    <col min="682" max="16384" width="9.1796875" style="190"/>
  </cols>
  <sheetData>
    <row r="1" spans="1:702" ht="17.149999999999999" customHeight="1" x14ac:dyDescent="0.35">
      <c r="B1" s="68"/>
      <c r="CU1" s="190"/>
      <c r="DH1" s="190"/>
      <c r="ID1" s="190"/>
      <c r="IE1" s="190"/>
      <c r="IF1" s="190"/>
      <c r="IG1" s="190"/>
      <c r="IH1" s="190"/>
      <c r="II1" s="190"/>
      <c r="IJ1" s="190"/>
      <c r="IK1" s="190"/>
      <c r="IL1" s="190"/>
      <c r="IM1" s="190"/>
      <c r="IN1" s="190"/>
      <c r="IO1" s="190"/>
      <c r="IP1" s="190"/>
      <c r="IQ1" s="190"/>
      <c r="IR1" s="190"/>
      <c r="IS1" s="190"/>
      <c r="IT1" s="190"/>
      <c r="IU1" s="190"/>
      <c r="IV1" s="190"/>
      <c r="IW1" s="190"/>
      <c r="IX1" s="190"/>
      <c r="IY1" s="190"/>
      <c r="IZ1" s="190"/>
      <c r="JA1" s="190"/>
      <c r="JB1" s="190"/>
      <c r="JC1" s="190"/>
      <c r="JD1" s="190"/>
      <c r="JE1" s="190"/>
      <c r="JF1" s="190"/>
      <c r="JG1" s="190"/>
      <c r="JH1" s="190"/>
      <c r="JI1" s="190"/>
      <c r="JJ1" s="190"/>
      <c r="JK1" s="190"/>
      <c r="JL1" s="190"/>
      <c r="JM1" s="190"/>
      <c r="JN1" s="190"/>
      <c r="JO1" s="190"/>
      <c r="JP1" s="190"/>
      <c r="JQ1" s="190"/>
      <c r="JR1" s="190"/>
      <c r="JS1" s="190"/>
      <c r="JT1" s="190"/>
      <c r="JU1" s="190"/>
      <c r="JV1" s="190"/>
      <c r="JW1" s="190"/>
      <c r="JX1" s="190"/>
      <c r="JY1" s="190"/>
      <c r="JZ1" s="190"/>
      <c r="KA1" s="190"/>
      <c r="KB1" s="190"/>
      <c r="KC1" s="190"/>
      <c r="KD1" s="190"/>
      <c r="KE1" s="190"/>
      <c r="KF1" s="190"/>
      <c r="KG1" s="190"/>
      <c r="KH1" s="190"/>
      <c r="KI1" s="190"/>
      <c r="KJ1" s="190"/>
      <c r="KK1" s="190"/>
      <c r="KL1" s="190"/>
      <c r="KM1" s="190"/>
      <c r="KN1" s="190"/>
      <c r="KO1" s="190"/>
      <c r="KP1" s="190"/>
      <c r="KQ1" s="190"/>
      <c r="KR1" s="190"/>
      <c r="KS1" s="190"/>
      <c r="KT1" s="190"/>
      <c r="KU1" s="190"/>
      <c r="KV1" s="190"/>
      <c r="KW1" s="190"/>
      <c r="KX1" s="190"/>
      <c r="KY1" s="190"/>
      <c r="KZ1" s="190"/>
      <c r="LA1" s="190"/>
      <c r="LB1" s="190"/>
      <c r="LC1" s="190"/>
      <c r="LD1" s="190"/>
      <c r="LE1" s="190"/>
      <c r="LF1" s="190"/>
      <c r="LG1" s="190"/>
      <c r="LH1" s="190"/>
      <c r="LI1" s="190"/>
      <c r="LJ1" s="190"/>
      <c r="LK1" s="190"/>
      <c r="LL1" s="190"/>
      <c r="LM1" s="190"/>
      <c r="LN1" s="190"/>
      <c r="LO1" s="190"/>
      <c r="LP1" s="190"/>
      <c r="LQ1" s="190"/>
      <c r="LR1" s="190"/>
      <c r="LS1" s="190"/>
      <c r="LT1" s="190"/>
      <c r="LU1" s="190"/>
      <c r="LV1" s="190"/>
      <c r="LW1" s="190"/>
      <c r="LX1" s="190"/>
      <c r="LY1" s="190"/>
      <c r="LZ1" s="190"/>
      <c r="MA1" s="190"/>
      <c r="MB1" s="190"/>
      <c r="MC1" s="190"/>
      <c r="MD1" s="190"/>
      <c r="ME1" s="190"/>
      <c r="MF1" s="190"/>
      <c r="MG1" s="190"/>
      <c r="MH1" s="190"/>
      <c r="MI1" s="190"/>
      <c r="MJ1" s="190"/>
      <c r="MK1" s="190"/>
      <c r="ML1" s="190"/>
      <c r="MM1" s="190"/>
      <c r="MN1" s="190"/>
      <c r="MO1" s="190"/>
      <c r="MP1" s="190"/>
      <c r="MQ1" s="190"/>
      <c r="MR1" s="190"/>
      <c r="MS1" s="190"/>
      <c r="MT1" s="190"/>
      <c r="MU1" s="190"/>
      <c r="MV1" s="190"/>
      <c r="MW1" s="190"/>
      <c r="MX1" s="190"/>
      <c r="MY1" s="190"/>
      <c r="MZ1" s="190"/>
      <c r="NA1" s="190"/>
      <c r="NB1" s="190"/>
      <c r="NC1" s="190"/>
      <c r="ND1" s="190"/>
      <c r="NE1" s="190"/>
      <c r="NF1" s="190"/>
      <c r="NG1" s="190"/>
      <c r="NH1" s="190"/>
      <c r="NI1" s="190"/>
      <c r="NJ1" s="190"/>
      <c r="NK1" s="190"/>
      <c r="NL1" s="190"/>
      <c r="NM1" s="190"/>
      <c r="NN1" s="190"/>
      <c r="NO1" s="190"/>
      <c r="NP1" s="190"/>
      <c r="NQ1" s="190"/>
      <c r="NR1" s="190"/>
      <c r="NS1" s="190"/>
      <c r="NT1" s="190"/>
      <c r="NU1" s="190"/>
      <c r="NV1" s="190"/>
      <c r="NW1" s="190"/>
      <c r="NX1" s="190"/>
      <c r="NY1" s="190"/>
      <c r="NZ1" s="190"/>
      <c r="OA1" s="190"/>
      <c r="OB1" s="190"/>
      <c r="OC1" s="190"/>
      <c r="OD1" s="190"/>
      <c r="OE1" s="190"/>
      <c r="OF1" s="190"/>
      <c r="OG1" s="190"/>
      <c r="OH1" s="190"/>
      <c r="OI1" s="190"/>
      <c r="OJ1" s="190"/>
      <c r="OK1" s="190"/>
      <c r="OL1" s="190"/>
      <c r="OM1" s="190"/>
      <c r="ON1" s="190"/>
      <c r="OO1" s="190"/>
      <c r="OP1" s="190"/>
      <c r="OQ1" s="190"/>
      <c r="OR1" s="190"/>
      <c r="OS1" s="190"/>
      <c r="OT1" s="190"/>
      <c r="OU1" s="190"/>
      <c r="OV1" s="190"/>
      <c r="OW1" s="190"/>
      <c r="OX1" s="190"/>
      <c r="OY1" s="190"/>
      <c r="OZ1" s="190"/>
      <c r="PA1" s="190"/>
      <c r="PB1" s="190"/>
      <c r="PC1" s="190"/>
      <c r="PD1" s="190"/>
      <c r="PE1" s="190"/>
      <c r="PF1" s="190"/>
      <c r="PG1" s="190"/>
      <c r="PH1" s="190"/>
      <c r="PI1" s="190"/>
      <c r="PJ1" s="190"/>
      <c r="PK1" s="190"/>
      <c r="PL1" s="190"/>
      <c r="PM1" s="190"/>
      <c r="PN1" s="190"/>
      <c r="PO1" s="190"/>
      <c r="PP1" s="190"/>
      <c r="PQ1" s="190"/>
      <c r="PR1" s="190"/>
      <c r="PS1" s="190"/>
      <c r="PT1" s="190"/>
      <c r="PU1" s="190"/>
      <c r="PV1" s="190"/>
      <c r="PW1" s="190"/>
      <c r="PX1" s="190"/>
      <c r="PY1" s="190"/>
      <c r="PZ1" s="190"/>
      <c r="QA1" s="190"/>
      <c r="QB1" s="190"/>
      <c r="QC1" s="190"/>
      <c r="QD1" s="190"/>
      <c r="QE1" s="190"/>
      <c r="QF1" s="190"/>
      <c r="QG1" s="190"/>
      <c r="QH1" s="190"/>
      <c r="QI1" s="190"/>
      <c r="QJ1" s="190"/>
      <c r="QK1" s="190"/>
      <c r="QL1" s="190"/>
      <c r="QM1" s="190"/>
      <c r="QN1" s="190"/>
      <c r="QO1" s="190"/>
      <c r="QP1" s="190"/>
      <c r="QQ1" s="190"/>
      <c r="QR1" s="190"/>
      <c r="QS1" s="190"/>
      <c r="QT1" s="190"/>
      <c r="QU1" s="190"/>
      <c r="QV1" s="190"/>
      <c r="QW1" s="190"/>
      <c r="QX1" s="190"/>
      <c r="QY1" s="190"/>
      <c r="QZ1" s="190"/>
      <c r="RA1" s="190"/>
      <c r="RB1" s="190"/>
      <c r="RC1" s="190"/>
      <c r="RD1" s="190"/>
      <c r="RE1" s="190"/>
      <c r="RF1" s="190"/>
      <c r="RG1" s="190"/>
      <c r="RH1" s="190"/>
      <c r="RI1" s="190"/>
      <c r="RJ1" s="190"/>
      <c r="RK1" s="190"/>
      <c r="RL1" s="190"/>
      <c r="RM1" s="190"/>
      <c r="RN1" s="190"/>
      <c r="RO1" s="190"/>
      <c r="RP1" s="190"/>
      <c r="RQ1" s="190"/>
      <c r="RR1" s="190"/>
      <c r="RS1" s="190"/>
      <c r="RT1" s="190"/>
      <c r="RU1" s="190"/>
      <c r="RV1" s="190"/>
      <c r="RW1" s="190"/>
      <c r="RX1" s="190"/>
      <c r="RY1" s="190"/>
      <c r="RZ1" s="190"/>
      <c r="SA1" s="190"/>
      <c r="SB1" s="190"/>
      <c r="SC1" s="190"/>
      <c r="SD1" s="190"/>
      <c r="SE1" s="190"/>
      <c r="SF1" s="190"/>
      <c r="SG1" s="190"/>
      <c r="SH1" s="190"/>
      <c r="SI1" s="190"/>
      <c r="SJ1" s="190"/>
      <c r="SK1" s="190"/>
      <c r="SL1" s="190"/>
      <c r="SM1" s="190"/>
      <c r="SN1" s="190"/>
      <c r="SO1" s="190"/>
      <c r="SP1" s="190"/>
      <c r="SQ1" s="190"/>
      <c r="SR1" s="190"/>
      <c r="SS1" s="190"/>
      <c r="ST1" s="190"/>
      <c r="SU1" s="190"/>
      <c r="SV1" s="190"/>
      <c r="SW1" s="190"/>
      <c r="SX1" s="190"/>
      <c r="SY1" s="190"/>
      <c r="SZ1" s="190"/>
      <c r="TA1" s="190"/>
      <c r="TB1" s="190"/>
      <c r="TC1" s="190"/>
      <c r="TD1" s="190"/>
      <c r="TE1" s="190"/>
      <c r="TF1" s="190"/>
      <c r="TG1" s="190"/>
      <c r="TH1" s="190"/>
      <c r="TI1" s="190"/>
      <c r="TJ1" s="190"/>
      <c r="TK1" s="190"/>
      <c r="TL1" s="190"/>
      <c r="TM1" s="190"/>
      <c r="TN1" s="190"/>
      <c r="TO1" s="190"/>
      <c r="TP1" s="190"/>
      <c r="TQ1" s="190"/>
      <c r="TR1" s="190"/>
      <c r="TS1" s="190"/>
      <c r="TT1" s="190"/>
      <c r="TU1" s="190"/>
      <c r="TV1" s="190"/>
      <c r="TW1" s="190"/>
      <c r="TX1" s="190"/>
      <c r="TY1" s="190"/>
      <c r="TZ1" s="190"/>
      <c r="UA1" s="190"/>
      <c r="UB1" s="190"/>
      <c r="UC1" s="190"/>
      <c r="UD1" s="190"/>
      <c r="UE1" s="190"/>
      <c r="UF1" s="190"/>
      <c r="UG1" s="190"/>
      <c r="UH1" s="190"/>
      <c r="UI1" s="190"/>
      <c r="UJ1" s="190"/>
      <c r="UK1" s="190"/>
      <c r="UL1" s="190"/>
      <c r="UM1" s="190"/>
      <c r="UN1" s="190"/>
      <c r="UO1" s="190"/>
      <c r="UP1" s="190"/>
      <c r="UQ1" s="190"/>
      <c r="UR1" s="190"/>
      <c r="US1" s="190"/>
      <c r="UT1" s="190"/>
      <c r="UU1" s="190"/>
      <c r="UV1" s="190"/>
      <c r="UW1" s="190"/>
      <c r="UX1" s="190"/>
      <c r="UY1" s="190"/>
      <c r="UZ1" s="190"/>
      <c r="VA1" s="190"/>
      <c r="VB1" s="190"/>
      <c r="VC1" s="190"/>
      <c r="VD1" s="190"/>
      <c r="VE1" s="190"/>
      <c r="VF1" s="190"/>
      <c r="VG1" s="190"/>
      <c r="VH1" s="190"/>
      <c r="VI1" s="190"/>
      <c r="VJ1" s="190"/>
      <c r="VK1" s="190"/>
      <c r="VL1" s="190"/>
      <c r="VM1" s="190"/>
      <c r="VN1" s="190"/>
      <c r="VO1" s="190"/>
      <c r="VP1" s="190"/>
      <c r="VQ1" s="190"/>
      <c r="VR1" s="190"/>
      <c r="VS1" s="190"/>
      <c r="VT1" s="190"/>
      <c r="VU1" s="190"/>
      <c r="VV1" s="190"/>
      <c r="VW1" s="190"/>
      <c r="VX1" s="190"/>
      <c r="VY1" s="190"/>
      <c r="VZ1" s="190"/>
      <c r="WA1" s="190"/>
      <c r="WB1" s="190"/>
      <c r="WC1" s="190"/>
      <c r="WD1" s="190"/>
      <c r="WE1" s="190"/>
      <c r="WF1" s="190"/>
      <c r="WG1" s="190"/>
      <c r="WH1" s="190"/>
      <c r="WI1" s="190"/>
      <c r="WJ1" s="190"/>
      <c r="WK1" s="190"/>
      <c r="WL1" s="190"/>
      <c r="WM1" s="190"/>
      <c r="WN1" s="190"/>
      <c r="WO1" s="190"/>
      <c r="WP1" s="190"/>
      <c r="WQ1" s="190"/>
      <c r="WR1" s="190"/>
      <c r="WS1" s="190"/>
      <c r="WT1" s="190"/>
      <c r="WU1" s="190"/>
      <c r="WV1" s="190"/>
      <c r="WW1" s="190"/>
      <c r="WX1" s="190"/>
      <c r="WY1" s="190"/>
      <c r="WZ1" s="190"/>
      <c r="XA1" s="190"/>
    </row>
    <row r="2" spans="1:702" ht="17.149999999999999" customHeight="1" x14ac:dyDescent="0.35">
      <c r="A2" s="123" t="s">
        <v>185</v>
      </c>
      <c r="B2" s="127" t="str">
        <f>IF(B4="","",MATCH(B4,M8:M60,0)+7)</f>
        <v/>
      </c>
      <c r="D2" s="235"/>
      <c r="T2" s="254"/>
      <c r="U2" s="255"/>
      <c r="X2" s="256"/>
      <c r="AR2" s="256"/>
      <c r="AS2" s="256"/>
      <c r="AT2" s="256"/>
      <c r="CU2" s="190"/>
      <c r="DH2" s="190"/>
      <c r="ID2" s="190"/>
      <c r="IE2" s="190"/>
      <c r="IF2" s="190"/>
      <c r="IG2" s="190"/>
      <c r="IH2" s="190"/>
      <c r="II2" s="190"/>
      <c r="IJ2" s="190"/>
      <c r="IK2" s="190"/>
      <c r="IL2" s="190"/>
      <c r="IM2" s="190"/>
      <c r="IN2" s="190"/>
      <c r="IO2" s="190"/>
      <c r="IP2" s="190"/>
      <c r="IQ2" s="190"/>
      <c r="IR2" s="190"/>
      <c r="IS2" s="190"/>
      <c r="IT2" s="190"/>
      <c r="IU2" s="190"/>
      <c r="IV2" s="190"/>
      <c r="IW2" s="190"/>
      <c r="IX2" s="190"/>
      <c r="IY2" s="190"/>
      <c r="IZ2" s="190"/>
      <c r="JA2" s="190"/>
      <c r="JB2" s="190"/>
      <c r="JC2" s="190"/>
      <c r="JD2" s="190"/>
      <c r="JE2" s="190"/>
      <c r="JF2" s="190"/>
      <c r="JG2" s="190"/>
      <c r="JH2" s="190"/>
      <c r="JI2" s="190"/>
      <c r="JJ2" s="190"/>
      <c r="JK2" s="190"/>
      <c r="JL2" s="190"/>
      <c r="JM2" s="190"/>
      <c r="JN2" s="190"/>
      <c r="JO2" s="190"/>
      <c r="JP2" s="190"/>
      <c r="JQ2" s="190"/>
      <c r="JR2" s="190"/>
      <c r="JS2" s="190"/>
      <c r="JT2" s="190"/>
      <c r="JU2" s="190"/>
      <c r="JV2" s="190"/>
      <c r="JW2" s="190"/>
      <c r="JX2" s="190"/>
      <c r="JY2" s="190"/>
      <c r="JZ2" s="190"/>
      <c r="KA2" s="190"/>
      <c r="KB2" s="190"/>
      <c r="KC2" s="190"/>
      <c r="KD2" s="190"/>
      <c r="KE2" s="190"/>
      <c r="KF2" s="190"/>
      <c r="KG2" s="190"/>
      <c r="KH2" s="190"/>
      <c r="KI2" s="190"/>
      <c r="KJ2" s="190"/>
      <c r="KK2" s="190"/>
      <c r="KL2" s="190"/>
      <c r="KM2" s="190"/>
      <c r="KN2" s="190"/>
      <c r="KO2" s="190"/>
      <c r="KP2" s="190"/>
      <c r="KQ2" s="190"/>
      <c r="KR2" s="190"/>
      <c r="KS2" s="190"/>
      <c r="KT2" s="190"/>
      <c r="KU2" s="190"/>
      <c r="KV2" s="190"/>
      <c r="KW2" s="190"/>
      <c r="KX2" s="190"/>
      <c r="KY2" s="190"/>
      <c r="KZ2" s="190"/>
      <c r="LA2" s="190"/>
      <c r="LB2" s="190"/>
      <c r="LC2" s="190"/>
      <c r="LD2" s="190"/>
      <c r="LE2" s="190"/>
      <c r="LF2" s="190"/>
      <c r="LG2" s="190"/>
      <c r="LH2" s="190"/>
      <c r="LI2" s="190"/>
      <c r="LJ2" s="190"/>
      <c r="LK2" s="190"/>
      <c r="LL2" s="190"/>
      <c r="LM2" s="190"/>
      <c r="LN2" s="190"/>
      <c r="LO2" s="190"/>
      <c r="LP2" s="190"/>
      <c r="LQ2" s="190"/>
      <c r="LR2" s="190"/>
      <c r="LS2" s="190"/>
      <c r="LT2" s="190"/>
      <c r="LU2" s="190"/>
      <c r="LV2" s="190"/>
      <c r="LW2" s="190"/>
      <c r="LX2" s="190"/>
      <c r="LY2" s="190"/>
      <c r="LZ2" s="190"/>
      <c r="MA2" s="190"/>
      <c r="MB2" s="190"/>
      <c r="MC2" s="190"/>
      <c r="MD2" s="190"/>
      <c r="ME2" s="190"/>
      <c r="MF2" s="190"/>
      <c r="MG2" s="190"/>
      <c r="MH2" s="190"/>
      <c r="MI2" s="190"/>
      <c r="MJ2" s="190"/>
      <c r="MK2" s="190"/>
      <c r="ML2" s="190"/>
      <c r="MM2" s="190"/>
      <c r="MN2" s="190"/>
      <c r="MO2" s="190"/>
      <c r="MP2" s="190"/>
      <c r="MQ2" s="190"/>
      <c r="MR2" s="190"/>
      <c r="MS2" s="190"/>
      <c r="MT2" s="190"/>
      <c r="MU2" s="190"/>
      <c r="MV2" s="190"/>
      <c r="MW2" s="190"/>
      <c r="MX2" s="190"/>
      <c r="MY2" s="190"/>
      <c r="MZ2" s="190"/>
      <c r="NA2" s="190"/>
      <c r="NB2" s="190"/>
      <c r="NC2" s="190"/>
      <c r="ND2" s="190"/>
      <c r="NE2" s="190"/>
      <c r="NF2" s="190"/>
      <c r="NG2" s="190"/>
      <c r="NH2" s="190"/>
      <c r="NI2" s="190"/>
      <c r="NJ2" s="190"/>
      <c r="NK2" s="190"/>
      <c r="NL2" s="190"/>
      <c r="NM2" s="190"/>
      <c r="NN2" s="190"/>
      <c r="NO2" s="190"/>
      <c r="NP2" s="190"/>
      <c r="NQ2" s="190"/>
      <c r="NR2" s="190"/>
      <c r="NS2" s="190"/>
      <c r="NT2" s="190"/>
      <c r="NU2" s="190"/>
      <c r="NV2" s="190"/>
      <c r="NW2" s="190"/>
      <c r="NX2" s="190"/>
      <c r="NY2" s="190"/>
      <c r="NZ2" s="190"/>
      <c r="OA2" s="190"/>
      <c r="OB2" s="190"/>
      <c r="OC2" s="190"/>
      <c r="OD2" s="190"/>
      <c r="OE2" s="190"/>
      <c r="OF2" s="190"/>
      <c r="OG2" s="190"/>
      <c r="OH2" s="190"/>
      <c r="OI2" s="190"/>
      <c r="OJ2" s="190"/>
      <c r="OK2" s="190"/>
      <c r="OL2" s="190"/>
      <c r="OM2" s="190"/>
      <c r="ON2" s="190"/>
      <c r="OO2" s="190"/>
      <c r="OP2" s="190"/>
      <c r="OQ2" s="190"/>
      <c r="OR2" s="190"/>
      <c r="OS2" s="190"/>
      <c r="OT2" s="190"/>
      <c r="OU2" s="190"/>
      <c r="OV2" s="190"/>
      <c r="OW2" s="190"/>
      <c r="OX2" s="190"/>
      <c r="OY2" s="190"/>
      <c r="OZ2" s="190"/>
      <c r="PA2" s="190"/>
      <c r="PB2" s="190"/>
      <c r="PC2" s="190"/>
      <c r="PD2" s="190"/>
      <c r="PE2" s="190"/>
      <c r="PF2" s="190"/>
      <c r="PG2" s="190"/>
      <c r="PH2" s="190"/>
      <c r="PI2" s="190"/>
      <c r="PJ2" s="190"/>
      <c r="PK2" s="190"/>
      <c r="PL2" s="190"/>
      <c r="PM2" s="190"/>
      <c r="PN2" s="190"/>
      <c r="PO2" s="190"/>
      <c r="PP2" s="190"/>
      <c r="PQ2" s="190"/>
      <c r="PR2" s="190"/>
      <c r="PS2" s="190"/>
      <c r="PT2" s="190"/>
      <c r="PU2" s="190"/>
      <c r="PV2" s="190"/>
      <c r="PW2" s="190"/>
      <c r="PX2" s="190"/>
      <c r="PY2" s="190"/>
      <c r="PZ2" s="190"/>
      <c r="QA2" s="190"/>
      <c r="QB2" s="190"/>
      <c r="QC2" s="190"/>
      <c r="QD2" s="190"/>
      <c r="QE2" s="190"/>
      <c r="QF2" s="190"/>
      <c r="QG2" s="190"/>
      <c r="QH2" s="190"/>
      <c r="QI2" s="190"/>
      <c r="QJ2" s="190"/>
      <c r="QK2" s="190"/>
      <c r="QL2" s="190"/>
      <c r="QM2" s="190"/>
      <c r="QN2" s="190"/>
      <c r="QO2" s="190"/>
      <c r="QP2" s="190"/>
      <c r="QQ2" s="190"/>
      <c r="QR2" s="190"/>
      <c r="QS2" s="190"/>
      <c r="QT2" s="190"/>
      <c r="QU2" s="190"/>
      <c r="QV2" s="190"/>
      <c r="QW2" s="190"/>
      <c r="QX2" s="190"/>
      <c r="QY2" s="190"/>
      <c r="QZ2" s="190"/>
      <c r="RA2" s="190"/>
      <c r="RB2" s="190"/>
      <c r="RC2" s="190"/>
      <c r="RD2" s="190"/>
      <c r="RE2" s="190"/>
      <c r="RF2" s="190"/>
      <c r="RG2" s="190"/>
      <c r="RH2" s="190"/>
      <c r="RI2" s="190"/>
      <c r="RJ2" s="190"/>
      <c r="RK2" s="190"/>
      <c r="RL2" s="190"/>
      <c r="RM2" s="190"/>
      <c r="RN2" s="190"/>
      <c r="RO2" s="190"/>
      <c r="RP2" s="190"/>
      <c r="RQ2" s="190"/>
      <c r="RR2" s="190"/>
      <c r="RS2" s="190"/>
      <c r="RT2" s="190"/>
      <c r="RU2" s="190"/>
      <c r="RV2" s="190"/>
      <c r="RW2" s="190"/>
      <c r="RX2" s="190"/>
      <c r="RY2" s="190"/>
      <c r="RZ2" s="190"/>
      <c r="SA2" s="190"/>
      <c r="SB2" s="190"/>
      <c r="SC2" s="190"/>
      <c r="SD2" s="190"/>
      <c r="SE2" s="190"/>
      <c r="SF2" s="190"/>
      <c r="SG2" s="190"/>
      <c r="SH2" s="190"/>
      <c r="SI2" s="190"/>
      <c r="SJ2" s="190"/>
      <c r="SK2" s="190"/>
      <c r="SL2" s="190"/>
      <c r="SM2" s="190"/>
      <c r="SN2" s="190"/>
      <c r="SO2" s="190"/>
      <c r="SP2" s="190"/>
      <c r="SQ2" s="190"/>
      <c r="SR2" s="190"/>
      <c r="SS2" s="190"/>
      <c r="ST2" s="190"/>
      <c r="SU2" s="190"/>
      <c r="SV2" s="190"/>
      <c r="SW2" s="190"/>
      <c r="SX2" s="190"/>
      <c r="SY2" s="190"/>
      <c r="SZ2" s="190"/>
      <c r="TA2" s="190"/>
      <c r="TB2" s="190"/>
      <c r="TC2" s="190"/>
      <c r="TD2" s="190"/>
      <c r="TE2" s="190"/>
      <c r="TF2" s="190"/>
      <c r="TG2" s="190"/>
      <c r="TH2" s="190"/>
      <c r="TI2" s="190"/>
      <c r="TJ2" s="190"/>
      <c r="TK2" s="190"/>
      <c r="TL2" s="190"/>
      <c r="TM2" s="190"/>
      <c r="TN2" s="190"/>
      <c r="TO2" s="190"/>
      <c r="TP2" s="190"/>
      <c r="TQ2" s="190"/>
      <c r="TR2" s="190"/>
      <c r="TS2" s="190"/>
      <c r="TT2" s="190"/>
      <c r="TU2" s="190"/>
      <c r="TV2" s="190"/>
      <c r="TW2" s="190"/>
      <c r="TX2" s="190"/>
      <c r="TY2" s="190"/>
      <c r="TZ2" s="190"/>
      <c r="UA2" s="190"/>
      <c r="UB2" s="190"/>
      <c r="UC2" s="190"/>
      <c r="UD2" s="190"/>
      <c r="UE2" s="190"/>
      <c r="UF2" s="190"/>
      <c r="UG2" s="190"/>
      <c r="UH2" s="190"/>
      <c r="UI2" s="190"/>
      <c r="UJ2" s="190"/>
      <c r="UK2" s="190"/>
      <c r="UL2" s="190"/>
      <c r="UM2" s="190"/>
      <c r="UN2" s="190"/>
      <c r="UO2" s="190"/>
      <c r="UP2" s="190"/>
      <c r="UQ2" s="190"/>
      <c r="UR2" s="190"/>
      <c r="US2" s="190"/>
      <c r="UT2" s="190"/>
      <c r="UU2" s="190"/>
      <c r="UV2" s="190"/>
      <c r="UW2" s="190"/>
      <c r="UX2" s="190"/>
      <c r="UY2" s="190"/>
      <c r="UZ2" s="190"/>
      <c r="VA2" s="190"/>
      <c r="VB2" s="190"/>
      <c r="VC2" s="190"/>
      <c r="VD2" s="190"/>
      <c r="VE2" s="190"/>
      <c r="VF2" s="190"/>
      <c r="VG2" s="190"/>
      <c r="VH2" s="190"/>
      <c r="VI2" s="190"/>
      <c r="VJ2" s="190"/>
      <c r="VK2" s="190"/>
      <c r="VL2" s="190"/>
      <c r="VM2" s="190"/>
      <c r="VN2" s="190"/>
      <c r="VO2" s="190"/>
      <c r="VP2" s="190"/>
      <c r="VQ2" s="190"/>
      <c r="VR2" s="190"/>
      <c r="VS2" s="190"/>
      <c r="VT2" s="190"/>
      <c r="VU2" s="190"/>
      <c r="VV2" s="190"/>
      <c r="VW2" s="190"/>
      <c r="VX2" s="190"/>
      <c r="VY2" s="190"/>
      <c r="VZ2" s="190"/>
      <c r="WA2" s="190"/>
      <c r="WB2" s="190"/>
      <c r="WC2" s="190"/>
      <c r="WD2" s="190"/>
      <c r="WE2" s="190"/>
      <c r="WF2" s="190"/>
      <c r="WG2" s="190"/>
      <c r="WH2" s="190"/>
      <c r="WI2" s="190"/>
      <c r="WJ2" s="190"/>
      <c r="WK2" s="190"/>
      <c r="WL2" s="190"/>
      <c r="WM2" s="190"/>
      <c r="WN2" s="190"/>
      <c r="WO2" s="190"/>
      <c r="WP2" s="190"/>
      <c r="WQ2" s="190"/>
      <c r="WR2" s="190"/>
      <c r="WS2" s="190"/>
      <c r="WT2" s="190"/>
      <c r="WU2" s="190"/>
      <c r="WV2" s="190"/>
      <c r="WW2" s="190"/>
      <c r="WX2" s="190"/>
      <c r="WY2" s="190"/>
      <c r="WZ2" s="190"/>
      <c r="XA2" s="190"/>
    </row>
    <row r="3" spans="1:702" ht="17.149999999999999" customHeight="1" thickBot="1" x14ac:dyDescent="0.4">
      <c r="A3" s="123" t="s">
        <v>186</v>
      </c>
      <c r="B3" s="127">
        <v>0</v>
      </c>
      <c r="D3" s="236"/>
      <c r="U3" s="256"/>
      <c r="X3" s="256"/>
      <c r="AR3" s="256"/>
      <c r="AS3" s="256"/>
      <c r="AT3" s="256"/>
      <c r="CU3" s="190"/>
      <c r="DH3" s="190"/>
      <c r="ID3" s="190"/>
      <c r="IE3" s="190"/>
      <c r="IF3" s="190"/>
      <c r="IG3" s="190"/>
      <c r="IH3" s="190"/>
      <c r="II3" s="190"/>
      <c r="IJ3" s="190"/>
      <c r="IK3" s="190"/>
      <c r="IL3" s="190"/>
      <c r="IM3" s="190"/>
      <c r="IN3" s="190"/>
      <c r="IO3" s="190"/>
      <c r="IP3" s="190"/>
      <c r="IQ3" s="190"/>
      <c r="IR3" s="190"/>
      <c r="IS3" s="190"/>
      <c r="IT3" s="190"/>
      <c r="IU3" s="190"/>
      <c r="IV3" s="190"/>
      <c r="IW3" s="190"/>
      <c r="IX3" s="190"/>
      <c r="IY3" s="190"/>
      <c r="IZ3" s="190"/>
      <c r="JA3" s="190"/>
      <c r="JB3" s="190"/>
      <c r="JC3" s="190"/>
      <c r="JD3" s="190"/>
      <c r="JE3" s="190"/>
      <c r="JF3" s="190"/>
      <c r="JG3" s="190"/>
      <c r="JH3" s="190"/>
      <c r="JI3" s="190"/>
      <c r="JJ3" s="190"/>
      <c r="JK3" s="190"/>
      <c r="JL3" s="190"/>
      <c r="JM3" s="190"/>
      <c r="JN3" s="190"/>
      <c r="JO3" s="190"/>
      <c r="JP3" s="190"/>
      <c r="JQ3" s="190"/>
      <c r="JR3" s="190"/>
      <c r="JS3" s="190"/>
      <c r="JT3" s="190"/>
      <c r="JU3" s="190"/>
      <c r="JV3" s="190"/>
      <c r="JW3" s="190"/>
      <c r="JX3" s="190"/>
      <c r="JY3" s="190"/>
      <c r="JZ3" s="190"/>
      <c r="KA3" s="190"/>
      <c r="KB3" s="190"/>
      <c r="KC3" s="190"/>
      <c r="KD3" s="190"/>
      <c r="KE3" s="190"/>
      <c r="KF3" s="190"/>
      <c r="KG3" s="190"/>
      <c r="KH3" s="190"/>
      <c r="KI3" s="190"/>
      <c r="KJ3" s="190"/>
      <c r="KK3" s="190"/>
      <c r="KL3" s="190"/>
      <c r="KM3" s="190"/>
      <c r="KN3" s="190"/>
      <c r="KO3" s="190"/>
      <c r="KP3" s="190"/>
      <c r="KQ3" s="190"/>
      <c r="KR3" s="190"/>
      <c r="KS3" s="190"/>
      <c r="KT3" s="190"/>
      <c r="KU3" s="190"/>
      <c r="KV3" s="190"/>
      <c r="KW3" s="190"/>
      <c r="KX3" s="190"/>
      <c r="KY3" s="190"/>
      <c r="KZ3" s="190"/>
      <c r="LA3" s="190"/>
      <c r="LB3" s="190"/>
      <c r="LC3" s="190"/>
      <c r="LD3" s="190"/>
      <c r="LE3" s="190"/>
      <c r="LF3" s="190"/>
      <c r="LG3" s="190"/>
      <c r="LH3" s="190"/>
      <c r="LI3" s="190"/>
      <c r="LJ3" s="190"/>
      <c r="LK3" s="190"/>
      <c r="LL3" s="190"/>
      <c r="LM3" s="190"/>
      <c r="LN3" s="190"/>
      <c r="LO3" s="190"/>
      <c r="LP3" s="190"/>
      <c r="LQ3" s="190"/>
      <c r="LR3" s="190"/>
      <c r="LS3" s="190"/>
      <c r="LT3" s="190"/>
      <c r="LU3" s="190"/>
      <c r="LV3" s="190"/>
      <c r="LW3" s="190"/>
      <c r="LX3" s="190"/>
      <c r="LY3" s="190"/>
      <c r="LZ3" s="190"/>
      <c r="MA3" s="190"/>
      <c r="MB3" s="190"/>
      <c r="MC3" s="190"/>
      <c r="MD3" s="190"/>
      <c r="ME3" s="190"/>
      <c r="MF3" s="190"/>
      <c r="MG3" s="190"/>
      <c r="MH3" s="190"/>
      <c r="MI3" s="190"/>
      <c r="MJ3" s="190"/>
      <c r="MK3" s="190"/>
      <c r="ML3" s="190"/>
      <c r="MM3" s="190"/>
      <c r="MN3" s="190"/>
      <c r="MO3" s="190"/>
      <c r="MP3" s="190"/>
      <c r="MQ3" s="190"/>
      <c r="MR3" s="190"/>
      <c r="MS3" s="190"/>
      <c r="MT3" s="190"/>
      <c r="MU3" s="190"/>
      <c r="MV3" s="190"/>
      <c r="MW3" s="190"/>
      <c r="MX3" s="190"/>
      <c r="MY3" s="190"/>
      <c r="MZ3" s="190"/>
      <c r="NA3" s="190"/>
      <c r="NB3" s="190"/>
      <c r="NC3" s="190"/>
      <c r="ND3" s="190"/>
      <c r="NE3" s="190"/>
      <c r="NF3" s="190"/>
      <c r="NG3" s="190"/>
      <c r="NH3" s="190"/>
      <c r="NI3" s="190"/>
      <c r="NJ3" s="190"/>
      <c r="NK3" s="190"/>
      <c r="NL3" s="190"/>
      <c r="NM3" s="190"/>
      <c r="NN3" s="190"/>
      <c r="NO3" s="190"/>
      <c r="NP3" s="190"/>
      <c r="NQ3" s="190"/>
      <c r="NR3" s="190"/>
      <c r="NS3" s="190"/>
      <c r="NT3" s="190"/>
      <c r="NU3" s="190"/>
      <c r="NV3" s="190"/>
      <c r="NW3" s="190"/>
      <c r="NX3" s="190"/>
      <c r="NY3" s="190"/>
      <c r="NZ3" s="190"/>
      <c r="OA3" s="190"/>
      <c r="OB3" s="190"/>
      <c r="OC3" s="190"/>
      <c r="OD3" s="190"/>
      <c r="OE3" s="190"/>
      <c r="OF3" s="190"/>
      <c r="OG3" s="190"/>
      <c r="OH3" s="190"/>
      <c r="OI3" s="190"/>
      <c r="OJ3" s="190"/>
      <c r="OK3" s="190"/>
      <c r="OL3" s="190"/>
      <c r="OM3" s="190"/>
      <c r="ON3" s="190"/>
      <c r="OO3" s="190"/>
      <c r="OP3" s="190"/>
      <c r="OQ3" s="190"/>
      <c r="OR3" s="190"/>
      <c r="OS3" s="190"/>
      <c r="OT3" s="190"/>
      <c r="OU3" s="190"/>
      <c r="OV3" s="190"/>
      <c r="OW3" s="190"/>
      <c r="OX3" s="190"/>
      <c r="OY3" s="190"/>
      <c r="OZ3" s="190"/>
      <c r="PA3" s="190"/>
      <c r="PB3" s="190"/>
      <c r="PC3" s="190"/>
      <c r="PD3" s="190"/>
      <c r="PE3" s="190"/>
      <c r="PF3" s="190"/>
      <c r="PG3" s="190"/>
      <c r="PH3" s="190"/>
      <c r="PI3" s="190"/>
      <c r="PJ3" s="190"/>
      <c r="PK3" s="190"/>
      <c r="PL3" s="190"/>
      <c r="PM3" s="190"/>
      <c r="PN3" s="190"/>
      <c r="PO3" s="190"/>
      <c r="PP3" s="190"/>
      <c r="PQ3" s="190"/>
      <c r="PR3" s="190"/>
      <c r="PS3" s="190"/>
      <c r="PT3" s="190"/>
      <c r="PU3" s="190"/>
      <c r="PV3" s="190"/>
      <c r="PW3" s="190"/>
      <c r="PX3" s="190"/>
      <c r="PY3" s="190"/>
      <c r="PZ3" s="190"/>
      <c r="QA3" s="190"/>
      <c r="QB3" s="190"/>
      <c r="QC3" s="190"/>
      <c r="QD3" s="190"/>
      <c r="QE3" s="190"/>
      <c r="QF3" s="190"/>
      <c r="QG3" s="190"/>
      <c r="QH3" s="190"/>
      <c r="QI3" s="190"/>
      <c r="QJ3" s="190"/>
      <c r="QK3" s="190"/>
      <c r="QL3" s="190"/>
      <c r="QM3" s="190"/>
      <c r="QN3" s="190"/>
      <c r="QO3" s="190"/>
      <c r="QP3" s="190"/>
      <c r="QQ3" s="190"/>
      <c r="QR3" s="190"/>
      <c r="QS3" s="190"/>
      <c r="QT3" s="190"/>
      <c r="QU3" s="190"/>
      <c r="QV3" s="190"/>
      <c r="QW3" s="190"/>
      <c r="QX3" s="190"/>
      <c r="QY3" s="190"/>
      <c r="QZ3" s="190"/>
      <c r="RA3" s="190"/>
      <c r="RB3" s="190"/>
      <c r="RC3" s="190"/>
      <c r="RD3" s="190"/>
      <c r="RE3" s="190"/>
      <c r="RF3" s="190"/>
      <c r="RG3" s="190"/>
      <c r="RH3" s="190"/>
      <c r="RI3" s="190"/>
      <c r="RJ3" s="190"/>
      <c r="RK3" s="190"/>
      <c r="RL3" s="190"/>
      <c r="RM3" s="190"/>
      <c r="RN3" s="190"/>
      <c r="RO3" s="190"/>
      <c r="RP3" s="190"/>
      <c r="RQ3" s="190"/>
      <c r="RR3" s="190"/>
      <c r="RS3" s="190"/>
      <c r="RT3" s="190"/>
      <c r="RU3" s="190"/>
      <c r="RV3" s="190"/>
      <c r="RW3" s="190"/>
      <c r="RX3" s="190"/>
      <c r="RY3" s="190"/>
      <c r="RZ3" s="190"/>
      <c r="SA3" s="190"/>
      <c r="SB3" s="190"/>
      <c r="SC3" s="190"/>
      <c r="SD3" s="190"/>
      <c r="SE3" s="190"/>
      <c r="SF3" s="190"/>
      <c r="SG3" s="190"/>
      <c r="SH3" s="190"/>
      <c r="SI3" s="190"/>
      <c r="SJ3" s="190"/>
      <c r="SK3" s="190"/>
      <c r="SL3" s="190"/>
      <c r="SM3" s="190"/>
      <c r="SN3" s="190"/>
      <c r="SO3" s="190"/>
      <c r="SP3" s="190"/>
      <c r="SQ3" s="190"/>
      <c r="SR3" s="190"/>
      <c r="SS3" s="190"/>
      <c r="ST3" s="190"/>
      <c r="SU3" s="190"/>
      <c r="SV3" s="190"/>
      <c r="SW3" s="190"/>
      <c r="SX3" s="190"/>
      <c r="SY3" s="190"/>
      <c r="SZ3" s="190"/>
      <c r="TA3" s="190"/>
      <c r="TB3" s="190"/>
      <c r="TC3" s="190"/>
      <c r="TD3" s="190"/>
      <c r="TE3" s="190"/>
      <c r="TF3" s="190"/>
      <c r="TG3" s="190"/>
      <c r="TH3" s="190"/>
      <c r="TI3" s="190"/>
      <c r="TJ3" s="190"/>
      <c r="TK3" s="190"/>
      <c r="TL3" s="190"/>
      <c r="TM3" s="190"/>
      <c r="TN3" s="190"/>
      <c r="TO3" s="190"/>
      <c r="TP3" s="190"/>
      <c r="TQ3" s="190"/>
      <c r="TR3" s="190"/>
      <c r="TS3" s="190"/>
      <c r="TT3" s="190"/>
      <c r="TU3" s="190"/>
      <c r="TV3" s="190"/>
      <c r="TW3" s="190"/>
      <c r="TX3" s="190"/>
      <c r="TY3" s="190"/>
      <c r="TZ3" s="190"/>
      <c r="UA3" s="190"/>
      <c r="UB3" s="190"/>
      <c r="UC3" s="190"/>
      <c r="UD3" s="190"/>
      <c r="UE3" s="190"/>
      <c r="UF3" s="190"/>
      <c r="UG3" s="190"/>
      <c r="UH3" s="190"/>
      <c r="UI3" s="190"/>
      <c r="UJ3" s="190"/>
      <c r="UK3" s="190"/>
      <c r="UL3" s="190"/>
      <c r="UM3" s="190"/>
      <c r="UN3" s="190"/>
      <c r="UO3" s="190"/>
      <c r="UP3" s="190"/>
      <c r="UQ3" s="190"/>
      <c r="UR3" s="190"/>
      <c r="US3" s="190"/>
      <c r="UT3" s="190"/>
      <c r="UU3" s="190"/>
      <c r="UV3" s="190"/>
      <c r="UW3" s="190"/>
      <c r="UX3" s="190"/>
      <c r="UY3" s="190"/>
      <c r="UZ3" s="190"/>
      <c r="VA3" s="190"/>
      <c r="VB3" s="190"/>
      <c r="VC3" s="190"/>
      <c r="VD3" s="190"/>
      <c r="VE3" s="190"/>
      <c r="VF3" s="190"/>
      <c r="VG3" s="190"/>
      <c r="VH3" s="190"/>
      <c r="VI3" s="190"/>
      <c r="VJ3" s="190"/>
      <c r="VK3" s="190"/>
      <c r="VL3" s="190"/>
      <c r="VM3" s="190"/>
      <c r="VN3" s="190"/>
      <c r="VO3" s="190"/>
      <c r="VP3" s="190"/>
      <c r="VQ3" s="190"/>
      <c r="VR3" s="190"/>
      <c r="VS3" s="190"/>
      <c r="VT3" s="190"/>
      <c r="VU3" s="190"/>
      <c r="VV3" s="190"/>
      <c r="VW3" s="190"/>
      <c r="VX3" s="190"/>
      <c r="VY3" s="190"/>
      <c r="VZ3" s="190"/>
      <c r="WA3" s="190"/>
      <c r="WB3" s="190"/>
      <c r="WC3" s="190"/>
      <c r="WD3" s="190"/>
      <c r="WE3" s="190"/>
      <c r="WF3" s="190"/>
      <c r="WG3" s="190"/>
      <c r="WH3" s="190"/>
      <c r="WI3" s="190"/>
      <c r="WJ3" s="190"/>
      <c r="WK3" s="190"/>
      <c r="WL3" s="190"/>
      <c r="WM3" s="190"/>
      <c r="WN3" s="190"/>
      <c r="WO3" s="190"/>
      <c r="WP3" s="190"/>
      <c r="WQ3" s="190"/>
      <c r="WR3" s="190"/>
      <c r="WS3" s="190"/>
      <c r="WT3" s="190"/>
      <c r="WU3" s="190"/>
      <c r="WV3" s="190"/>
      <c r="WW3" s="190"/>
      <c r="WX3" s="190"/>
      <c r="WY3" s="190"/>
      <c r="WZ3" s="190"/>
      <c r="XA3" s="190"/>
    </row>
    <row r="4" spans="1:702" ht="15" customHeight="1" thickBot="1" x14ac:dyDescent="0.4">
      <c r="A4" s="123" t="s">
        <v>187</v>
      </c>
      <c r="B4" s="127" t="str">
        <f>M17</f>
        <v/>
      </c>
      <c r="D4" s="236"/>
      <c r="M4" s="247" t="s">
        <v>224</v>
      </c>
      <c r="N4" s="713" t="s">
        <v>50</v>
      </c>
      <c r="O4" s="714"/>
      <c r="R4" s="245"/>
      <c r="S4" s="245"/>
      <c r="U4" s="256"/>
      <c r="X4" s="256"/>
      <c r="AR4" s="256"/>
      <c r="AS4" s="256"/>
      <c r="AT4" s="256"/>
      <c r="CU4" s="190"/>
      <c r="DH4" s="190"/>
      <c r="EJ4" s="399" t="s">
        <v>399</v>
      </c>
      <c r="EK4" s="400">
        <v>45658</v>
      </c>
      <c r="ID4" s="190"/>
      <c r="IE4" s="190"/>
      <c r="IF4" s="190"/>
      <c r="IG4" s="190"/>
      <c r="IH4" s="190"/>
      <c r="II4" s="190"/>
      <c r="IJ4" s="190"/>
      <c r="IK4" s="190"/>
      <c r="IL4" s="190"/>
      <c r="IM4" s="190"/>
      <c r="IN4" s="190"/>
      <c r="IO4" s="190"/>
      <c r="IP4" s="190"/>
      <c r="IQ4" s="190"/>
      <c r="IR4" s="190"/>
      <c r="IS4" s="190"/>
      <c r="IT4" s="190"/>
      <c r="IU4" s="190"/>
      <c r="IV4" s="190"/>
      <c r="IW4" s="190"/>
      <c r="IX4" s="190"/>
      <c r="IY4" s="190"/>
      <c r="IZ4" s="190"/>
      <c r="JA4" s="190"/>
      <c r="JB4" s="190"/>
      <c r="JC4" s="190"/>
      <c r="JD4" s="190"/>
      <c r="JE4" s="190"/>
      <c r="JF4" s="190"/>
      <c r="JG4" s="190"/>
      <c r="JH4" s="190"/>
      <c r="JI4" s="190"/>
      <c r="JJ4" s="190"/>
      <c r="JK4" s="190"/>
      <c r="JL4" s="190"/>
      <c r="JM4" s="190"/>
      <c r="JN4" s="190"/>
      <c r="JO4" s="190"/>
      <c r="JP4" s="190"/>
      <c r="JQ4" s="190"/>
      <c r="JR4" s="190"/>
      <c r="JS4" s="190"/>
      <c r="JT4" s="190"/>
      <c r="JU4" s="190"/>
      <c r="JV4" s="190"/>
      <c r="JW4" s="190"/>
      <c r="JX4" s="190"/>
      <c r="JY4" s="190"/>
      <c r="JZ4" s="190"/>
      <c r="KA4" s="190"/>
      <c r="KB4" s="190"/>
      <c r="KC4" s="190"/>
      <c r="KD4" s="190"/>
      <c r="KE4" s="190"/>
      <c r="KF4" s="190"/>
      <c r="KG4" s="190"/>
      <c r="KH4" s="190"/>
      <c r="KI4" s="190"/>
      <c r="KJ4" s="190"/>
      <c r="KK4" s="190"/>
      <c r="KL4" s="190"/>
      <c r="KM4" s="190"/>
      <c r="KN4" s="190"/>
      <c r="KO4" s="190"/>
      <c r="KP4" s="190"/>
      <c r="KQ4" s="190"/>
      <c r="KR4" s="190"/>
      <c r="KS4" s="190"/>
      <c r="KT4" s="190"/>
      <c r="KU4" s="190"/>
      <c r="KV4" s="190"/>
      <c r="KW4" s="190"/>
      <c r="KX4" s="190"/>
      <c r="KY4" s="190"/>
      <c r="KZ4" s="190"/>
      <c r="LA4" s="190"/>
      <c r="LB4" s="190"/>
      <c r="LC4" s="190"/>
      <c r="LD4" s="190"/>
      <c r="LE4" s="190"/>
      <c r="LF4" s="190"/>
      <c r="LG4" s="190"/>
      <c r="LH4" s="190"/>
      <c r="LI4" s="190"/>
      <c r="LJ4" s="190"/>
      <c r="LK4" s="190"/>
      <c r="LL4" s="190"/>
      <c r="LM4" s="190"/>
      <c r="LN4" s="190"/>
      <c r="LO4" s="190"/>
      <c r="LP4" s="190"/>
      <c r="LQ4" s="190"/>
      <c r="LR4" s="190"/>
      <c r="LS4" s="190"/>
      <c r="LT4" s="190"/>
      <c r="LU4" s="190"/>
      <c r="LV4" s="190"/>
      <c r="LW4" s="190"/>
      <c r="LX4" s="190"/>
      <c r="LY4" s="190"/>
      <c r="LZ4" s="190"/>
      <c r="MA4" s="190"/>
      <c r="MB4" s="190"/>
      <c r="MC4" s="190"/>
      <c r="MD4" s="190"/>
      <c r="ME4" s="190"/>
      <c r="MF4" s="190"/>
      <c r="MG4" s="190"/>
      <c r="MH4" s="190"/>
      <c r="MI4" s="190"/>
      <c r="MJ4" s="190"/>
      <c r="MK4" s="190"/>
      <c r="ML4" s="190"/>
      <c r="MM4" s="190"/>
      <c r="MN4" s="190"/>
      <c r="MO4" s="190"/>
      <c r="MP4" s="190"/>
      <c r="MQ4" s="190"/>
      <c r="MR4" s="190"/>
      <c r="MS4" s="190"/>
      <c r="MT4" s="190"/>
      <c r="MU4" s="190"/>
      <c r="MV4" s="190"/>
      <c r="MW4" s="190"/>
      <c r="MX4" s="190"/>
      <c r="MY4" s="190"/>
      <c r="MZ4" s="190"/>
      <c r="NA4" s="190"/>
      <c r="NB4" s="190"/>
      <c r="NC4" s="190"/>
      <c r="ND4" s="190"/>
      <c r="NE4" s="190"/>
      <c r="NF4" s="190"/>
      <c r="NG4" s="190"/>
      <c r="NH4" s="190"/>
      <c r="NI4" s="190"/>
      <c r="NJ4" s="190"/>
      <c r="NK4" s="190"/>
      <c r="NL4" s="190"/>
      <c r="NM4" s="190"/>
      <c r="NN4" s="190"/>
      <c r="NO4" s="190"/>
      <c r="NP4" s="190"/>
      <c r="NQ4" s="190"/>
      <c r="NR4" s="190"/>
      <c r="NS4" s="190"/>
      <c r="NT4" s="190"/>
      <c r="NU4" s="190"/>
      <c r="NV4" s="190"/>
      <c r="NW4" s="190"/>
      <c r="NX4" s="190"/>
      <c r="NY4" s="190"/>
      <c r="NZ4" s="190"/>
      <c r="OA4" s="190"/>
      <c r="OB4" s="190"/>
      <c r="OC4" s="190"/>
      <c r="OD4" s="190"/>
      <c r="OE4" s="190"/>
      <c r="OF4" s="190"/>
      <c r="OG4" s="190"/>
      <c r="OH4" s="190"/>
      <c r="OI4" s="190"/>
      <c r="OJ4" s="190"/>
      <c r="OK4" s="190"/>
      <c r="OL4" s="190"/>
      <c r="OM4" s="190"/>
      <c r="ON4" s="190"/>
      <c r="OO4" s="190"/>
      <c r="OP4" s="190"/>
      <c r="OQ4" s="190"/>
      <c r="OR4" s="190"/>
      <c r="OS4" s="190"/>
      <c r="OT4" s="190"/>
      <c r="OU4" s="190"/>
      <c r="OV4" s="190"/>
      <c r="OW4" s="190"/>
      <c r="OX4" s="190"/>
      <c r="OY4" s="190"/>
      <c r="OZ4" s="190"/>
      <c r="PA4" s="190"/>
      <c r="PB4" s="190"/>
      <c r="PC4" s="190"/>
      <c r="PD4" s="190"/>
      <c r="PE4" s="190"/>
      <c r="PF4" s="190"/>
      <c r="PG4" s="190"/>
      <c r="PH4" s="190"/>
      <c r="PI4" s="190"/>
      <c r="PJ4" s="190"/>
      <c r="PK4" s="190"/>
      <c r="PL4" s="190"/>
      <c r="PM4" s="190"/>
      <c r="PN4" s="190"/>
      <c r="PO4" s="190"/>
      <c r="PP4" s="190"/>
      <c r="PQ4" s="190"/>
      <c r="PR4" s="190"/>
      <c r="PS4" s="190"/>
      <c r="PT4" s="190"/>
      <c r="PU4" s="190"/>
      <c r="PV4" s="190"/>
      <c r="PW4" s="190"/>
      <c r="PX4" s="190"/>
      <c r="PY4" s="190"/>
      <c r="PZ4" s="190"/>
      <c r="QA4" s="190"/>
      <c r="QB4" s="190"/>
      <c r="QC4" s="190"/>
      <c r="QD4" s="190"/>
      <c r="QE4" s="190"/>
      <c r="QF4" s="190"/>
      <c r="QG4" s="190"/>
      <c r="QH4" s="190"/>
      <c r="QI4" s="190"/>
      <c r="QJ4" s="190"/>
      <c r="QK4" s="190"/>
      <c r="QL4" s="190"/>
      <c r="QM4" s="190"/>
      <c r="QN4" s="190"/>
      <c r="QO4" s="190"/>
      <c r="QP4" s="190"/>
      <c r="QQ4" s="190"/>
      <c r="QR4" s="190"/>
      <c r="QS4" s="190"/>
      <c r="QT4" s="190"/>
      <c r="QU4" s="190"/>
      <c r="QV4" s="190"/>
      <c r="QW4" s="190"/>
      <c r="QX4" s="190"/>
      <c r="QY4" s="190"/>
      <c r="QZ4" s="190"/>
      <c r="RA4" s="190"/>
      <c r="RB4" s="190"/>
      <c r="RC4" s="190"/>
      <c r="RD4" s="190"/>
      <c r="RE4" s="190"/>
      <c r="RF4" s="190"/>
      <c r="RG4" s="190"/>
      <c r="RH4" s="190"/>
      <c r="RI4" s="190"/>
      <c r="RJ4" s="190"/>
      <c r="RK4" s="190"/>
      <c r="RL4" s="190"/>
      <c r="RM4" s="190"/>
      <c r="RN4" s="190"/>
      <c r="RO4" s="190"/>
      <c r="RP4" s="190"/>
      <c r="RQ4" s="190"/>
      <c r="RR4" s="190"/>
      <c r="RS4" s="190"/>
      <c r="RT4" s="190"/>
      <c r="RU4" s="190"/>
      <c r="RV4" s="190"/>
      <c r="RW4" s="190"/>
      <c r="RX4" s="190"/>
      <c r="RY4" s="190"/>
      <c r="RZ4" s="190"/>
      <c r="SA4" s="190"/>
      <c r="SB4" s="190"/>
      <c r="SC4" s="190"/>
      <c r="SD4" s="190"/>
      <c r="SE4" s="190"/>
      <c r="SF4" s="190"/>
      <c r="SG4" s="190"/>
      <c r="SH4" s="190"/>
      <c r="SI4" s="190"/>
      <c r="SJ4" s="190"/>
      <c r="SK4" s="190"/>
      <c r="SL4" s="190"/>
      <c r="SM4" s="190"/>
      <c r="SN4" s="190"/>
      <c r="SO4" s="190"/>
      <c r="SP4" s="190"/>
      <c r="SQ4" s="190"/>
      <c r="SR4" s="190"/>
      <c r="SS4" s="190"/>
      <c r="ST4" s="190"/>
      <c r="SU4" s="190"/>
      <c r="SV4" s="190"/>
      <c r="SW4" s="190"/>
      <c r="SX4" s="190"/>
      <c r="SY4" s="190"/>
      <c r="SZ4" s="190"/>
      <c r="TA4" s="190"/>
      <c r="TB4" s="190"/>
      <c r="TC4" s="190"/>
      <c r="TD4" s="190"/>
      <c r="TE4" s="190"/>
      <c r="TF4" s="190"/>
      <c r="TG4" s="190"/>
      <c r="TH4" s="190"/>
      <c r="TI4" s="190"/>
      <c r="TJ4" s="190"/>
      <c r="TK4" s="190"/>
      <c r="TL4" s="190"/>
      <c r="TM4" s="190"/>
      <c r="TN4" s="190"/>
      <c r="TO4" s="190"/>
      <c r="TP4" s="190"/>
      <c r="TQ4" s="190"/>
      <c r="TR4" s="190"/>
      <c r="TS4" s="190"/>
      <c r="TT4" s="190"/>
      <c r="TU4" s="190"/>
      <c r="TV4" s="190"/>
      <c r="TW4" s="190"/>
      <c r="TX4" s="190"/>
      <c r="TY4" s="190"/>
      <c r="TZ4" s="190"/>
      <c r="UA4" s="190"/>
      <c r="UB4" s="190"/>
      <c r="UC4" s="190"/>
      <c r="UD4" s="190"/>
      <c r="UE4" s="190"/>
      <c r="UF4" s="190"/>
      <c r="UG4" s="190"/>
      <c r="UH4" s="190"/>
      <c r="UI4" s="190"/>
      <c r="UJ4" s="190"/>
      <c r="UK4" s="190"/>
      <c r="UL4" s="190"/>
      <c r="UM4" s="190"/>
      <c r="UN4" s="190"/>
      <c r="UO4" s="190"/>
      <c r="UP4" s="190"/>
      <c r="UQ4" s="190"/>
      <c r="UR4" s="190"/>
      <c r="US4" s="190"/>
      <c r="UT4" s="190"/>
      <c r="UU4" s="190"/>
      <c r="UV4" s="190"/>
      <c r="UW4" s="190"/>
      <c r="UX4" s="190"/>
      <c r="UY4" s="190"/>
      <c r="UZ4" s="190"/>
      <c r="VA4" s="190"/>
      <c r="VB4" s="190"/>
      <c r="VC4" s="190"/>
      <c r="VD4" s="190"/>
      <c r="VE4" s="190"/>
      <c r="VF4" s="190"/>
      <c r="VG4" s="190"/>
      <c r="VH4" s="190"/>
      <c r="VI4" s="190"/>
      <c r="VJ4" s="190"/>
      <c r="VK4" s="190"/>
      <c r="VL4" s="190"/>
      <c r="VM4" s="190"/>
      <c r="VN4" s="190"/>
      <c r="VO4" s="190"/>
      <c r="VP4" s="190"/>
      <c r="VQ4" s="190"/>
      <c r="VR4" s="190"/>
      <c r="VS4" s="190"/>
      <c r="VT4" s="190"/>
      <c r="VU4" s="190"/>
      <c r="VV4" s="190"/>
      <c r="VW4" s="190"/>
      <c r="VX4" s="190"/>
      <c r="VY4" s="190"/>
      <c r="VZ4" s="190"/>
      <c r="WA4" s="190"/>
      <c r="WB4" s="190"/>
      <c r="WC4" s="190"/>
      <c r="WD4" s="190"/>
      <c r="WE4" s="190"/>
      <c r="WF4" s="190"/>
      <c r="WG4" s="190"/>
      <c r="WH4" s="190"/>
      <c r="WI4" s="190"/>
      <c r="WJ4" s="190"/>
      <c r="WK4" s="190"/>
      <c r="WL4" s="190"/>
      <c r="WM4" s="190"/>
      <c r="WN4" s="190"/>
      <c r="WO4" s="190"/>
      <c r="WP4" s="190"/>
      <c r="WQ4" s="190"/>
      <c r="WR4" s="190"/>
      <c r="WS4" s="190"/>
      <c r="WT4" s="190"/>
      <c r="WU4" s="190"/>
      <c r="WV4" s="190"/>
      <c r="WW4" s="190"/>
      <c r="WX4" s="190"/>
      <c r="WY4" s="190"/>
      <c r="WZ4" s="190"/>
      <c r="XA4" s="190"/>
    </row>
    <row r="5" spans="1:702" ht="15" customHeight="1" thickBot="1" x14ac:dyDescent="0.4">
      <c r="A5" s="123" t="s">
        <v>188</v>
      </c>
      <c r="B5" s="127">
        <v>6</v>
      </c>
      <c r="D5" s="236"/>
      <c r="I5" s="237"/>
      <c r="L5" s="246"/>
      <c r="M5" s="247" t="s">
        <v>223</v>
      </c>
      <c r="N5" s="713" t="s">
        <v>533</v>
      </c>
      <c r="O5" s="714"/>
      <c r="P5" s="238"/>
      <c r="U5" s="256"/>
      <c r="X5" s="256"/>
      <c r="AQ5" s="245"/>
      <c r="AR5" s="256"/>
      <c r="AS5" s="256"/>
      <c r="AT5" s="256"/>
      <c r="CA5" s="240"/>
      <c r="CU5" s="190"/>
      <c r="DH5" s="190"/>
      <c r="EE5" s="248" t="s">
        <v>238</v>
      </c>
      <c r="EF5" s="248"/>
      <c r="EJ5" s="473" t="s">
        <v>520</v>
      </c>
      <c r="EK5" s="474">
        <f>COUNTA($EE$8:$EE$500)-COUNTBLANK($EE$8:$EE$500)</f>
        <v>1</v>
      </c>
      <c r="ID5" s="190"/>
      <c r="IE5" s="190"/>
      <c r="IF5" s="190"/>
      <c r="IG5" s="190"/>
      <c r="IH5" s="190"/>
      <c r="II5" s="190"/>
      <c r="IJ5" s="190"/>
      <c r="IK5" s="190"/>
      <c r="IL5" s="190"/>
      <c r="IM5" s="190"/>
      <c r="IN5" s="190"/>
      <c r="IO5" s="190"/>
      <c r="IP5" s="190"/>
      <c r="IQ5" s="190"/>
      <c r="IR5" s="190"/>
      <c r="IS5" s="190"/>
      <c r="IT5" s="190"/>
      <c r="IU5" s="190"/>
      <c r="IV5" s="190"/>
      <c r="IW5" s="190"/>
      <c r="IX5" s="190"/>
      <c r="IY5" s="190"/>
      <c r="IZ5" s="190"/>
      <c r="JA5" s="190"/>
      <c r="JB5" s="190"/>
      <c r="JC5" s="190"/>
      <c r="JD5" s="190"/>
      <c r="JE5" s="190"/>
      <c r="JF5" s="190"/>
      <c r="JG5" s="190"/>
      <c r="JH5" s="190"/>
      <c r="JI5" s="190"/>
      <c r="JJ5" s="190"/>
      <c r="JK5" s="190"/>
      <c r="JL5" s="190"/>
      <c r="JM5" s="190"/>
      <c r="JN5" s="190"/>
      <c r="JO5" s="190"/>
      <c r="JP5" s="190"/>
      <c r="JQ5" s="190"/>
      <c r="JR5" s="190"/>
      <c r="JS5" s="190"/>
      <c r="JT5" s="190"/>
      <c r="JU5" s="190"/>
      <c r="JV5" s="190"/>
      <c r="JW5" s="190"/>
      <c r="JX5" s="190"/>
      <c r="JY5" s="190"/>
      <c r="JZ5" s="190"/>
      <c r="KA5" s="190"/>
      <c r="KB5" s="190"/>
      <c r="KC5" s="190"/>
      <c r="KD5" s="190"/>
      <c r="KE5" s="190"/>
      <c r="KF5" s="190"/>
      <c r="KG5" s="190"/>
      <c r="KH5" s="190"/>
      <c r="KI5" s="190"/>
      <c r="KJ5" s="190"/>
      <c r="KK5" s="190"/>
      <c r="KL5" s="190"/>
      <c r="KM5" s="190"/>
      <c r="KN5" s="190"/>
      <c r="KO5" s="190"/>
      <c r="KP5" s="190"/>
      <c r="KQ5" s="190"/>
      <c r="KR5" s="190"/>
      <c r="KS5" s="190"/>
      <c r="KT5" s="190"/>
      <c r="KU5" s="190"/>
      <c r="KV5" s="190"/>
      <c r="KW5" s="190"/>
      <c r="KX5" s="190"/>
      <c r="KY5" s="190"/>
      <c r="KZ5" s="190"/>
      <c r="LA5" s="190"/>
      <c r="LB5" s="190"/>
      <c r="LC5" s="190"/>
      <c r="LD5" s="190"/>
      <c r="LE5" s="190"/>
      <c r="LF5" s="190"/>
      <c r="LG5" s="190"/>
      <c r="LH5" s="190"/>
      <c r="LI5" s="190"/>
      <c r="LJ5" s="190"/>
      <c r="LK5" s="190"/>
      <c r="LL5" s="190"/>
      <c r="LM5" s="190"/>
      <c r="LN5" s="190"/>
      <c r="LO5" s="190"/>
      <c r="LP5" s="190"/>
      <c r="LQ5" s="190"/>
      <c r="LR5" s="190"/>
      <c r="LS5" s="190"/>
      <c r="LT5" s="190"/>
      <c r="LU5" s="190"/>
      <c r="LV5" s="190"/>
      <c r="LW5" s="190"/>
      <c r="LX5" s="190"/>
      <c r="LY5" s="190"/>
      <c r="LZ5" s="190"/>
      <c r="MA5" s="190"/>
      <c r="MB5" s="190"/>
      <c r="MC5" s="190"/>
      <c r="MD5" s="190"/>
      <c r="ME5" s="190"/>
      <c r="MF5" s="190"/>
      <c r="MG5" s="190"/>
      <c r="MH5" s="190"/>
      <c r="MI5" s="190"/>
      <c r="MJ5" s="190"/>
      <c r="MK5" s="190"/>
      <c r="ML5" s="190"/>
      <c r="MM5" s="190"/>
      <c r="MN5" s="190"/>
      <c r="MO5" s="190"/>
      <c r="MP5" s="190"/>
      <c r="MQ5" s="190"/>
      <c r="MR5" s="190"/>
      <c r="MS5" s="190"/>
      <c r="MT5" s="190"/>
      <c r="MU5" s="190"/>
      <c r="MV5" s="190"/>
      <c r="MW5" s="190"/>
      <c r="MX5" s="190"/>
      <c r="MY5" s="190"/>
      <c r="MZ5" s="190"/>
      <c r="NA5" s="190"/>
      <c r="NB5" s="190"/>
      <c r="NC5" s="190"/>
      <c r="ND5" s="190"/>
      <c r="NE5" s="190"/>
      <c r="NF5" s="190"/>
      <c r="NG5" s="190"/>
      <c r="NH5" s="190"/>
      <c r="NI5" s="190"/>
      <c r="NJ5" s="190"/>
      <c r="NK5" s="190"/>
      <c r="NL5" s="190"/>
      <c r="NM5" s="190"/>
      <c r="NN5" s="190"/>
      <c r="NO5" s="190"/>
      <c r="NP5" s="190"/>
      <c r="NQ5" s="190"/>
      <c r="NR5" s="190"/>
      <c r="NS5" s="190"/>
      <c r="NT5" s="190"/>
      <c r="NU5" s="190"/>
      <c r="NV5" s="190"/>
      <c r="NW5" s="190"/>
      <c r="NX5" s="190"/>
      <c r="NY5" s="190"/>
      <c r="NZ5" s="190"/>
      <c r="OA5" s="190"/>
      <c r="OB5" s="190"/>
      <c r="OC5" s="190"/>
      <c r="OD5" s="190"/>
      <c r="OE5" s="190"/>
      <c r="OF5" s="190"/>
      <c r="OG5" s="190"/>
      <c r="OH5" s="190"/>
      <c r="OI5" s="190"/>
      <c r="OJ5" s="190"/>
      <c r="OK5" s="190"/>
      <c r="OL5" s="190"/>
      <c r="OM5" s="190"/>
      <c r="ON5" s="190"/>
      <c r="OO5" s="190"/>
      <c r="OP5" s="190"/>
      <c r="OQ5" s="190"/>
      <c r="OR5" s="190"/>
      <c r="OS5" s="190"/>
      <c r="OT5" s="190"/>
      <c r="OU5" s="190"/>
      <c r="OV5" s="190"/>
      <c r="OW5" s="190"/>
      <c r="OX5" s="190"/>
      <c r="OY5" s="190"/>
      <c r="OZ5" s="190"/>
      <c r="PA5" s="190"/>
      <c r="PB5" s="190"/>
      <c r="PC5" s="190"/>
      <c r="PD5" s="190"/>
      <c r="PE5" s="190"/>
      <c r="PF5" s="190"/>
      <c r="PG5" s="190"/>
      <c r="PH5" s="190"/>
      <c r="PI5" s="190"/>
      <c r="PJ5" s="190"/>
      <c r="PK5" s="190"/>
      <c r="PL5" s="190"/>
      <c r="PM5" s="190"/>
      <c r="PN5" s="190"/>
      <c r="PO5" s="190"/>
      <c r="PP5" s="190"/>
      <c r="PQ5" s="190"/>
      <c r="PR5" s="190"/>
      <c r="PS5" s="190"/>
      <c r="PT5" s="190"/>
      <c r="PU5" s="190"/>
      <c r="PV5" s="190"/>
      <c r="PW5" s="190"/>
      <c r="PX5" s="190"/>
      <c r="PY5" s="190"/>
      <c r="PZ5" s="190"/>
      <c r="QA5" s="190"/>
      <c r="QB5" s="190"/>
      <c r="QC5" s="190"/>
      <c r="QD5" s="190"/>
      <c r="QE5" s="190"/>
      <c r="QF5" s="190"/>
      <c r="QG5" s="190"/>
      <c r="QH5" s="190"/>
      <c r="QI5" s="190"/>
      <c r="QJ5" s="190"/>
      <c r="QK5" s="190"/>
      <c r="QL5" s="190"/>
      <c r="QM5" s="190"/>
      <c r="QN5" s="190"/>
      <c r="QO5" s="190"/>
      <c r="QP5" s="190"/>
      <c r="QQ5" s="190"/>
      <c r="QR5" s="190"/>
      <c r="QS5" s="190"/>
      <c r="QT5" s="190"/>
      <c r="QU5" s="190"/>
      <c r="QV5" s="190"/>
      <c r="QW5" s="190"/>
      <c r="QX5" s="190"/>
      <c r="QY5" s="190"/>
      <c r="QZ5" s="190"/>
      <c r="RA5" s="190"/>
      <c r="RB5" s="190"/>
      <c r="RC5" s="190"/>
      <c r="RD5" s="190"/>
      <c r="RE5" s="190"/>
      <c r="RF5" s="190"/>
      <c r="RG5" s="190"/>
      <c r="RH5" s="190"/>
      <c r="RI5" s="190"/>
      <c r="RJ5" s="190"/>
      <c r="RK5" s="190"/>
      <c r="RL5" s="190"/>
      <c r="RM5" s="190"/>
      <c r="RN5" s="190"/>
      <c r="RO5" s="190"/>
      <c r="RP5" s="190"/>
      <c r="RQ5" s="190"/>
      <c r="RR5" s="190"/>
      <c r="RS5" s="190"/>
      <c r="RT5" s="190"/>
      <c r="RU5" s="190"/>
      <c r="RV5" s="190"/>
      <c r="RW5" s="190"/>
      <c r="RX5" s="190"/>
      <c r="RY5" s="190"/>
      <c r="RZ5" s="190"/>
      <c r="SA5" s="190"/>
      <c r="SB5" s="190"/>
      <c r="SC5" s="190"/>
      <c r="SD5" s="190"/>
      <c r="SE5" s="190"/>
      <c r="SF5" s="190"/>
      <c r="SG5" s="190"/>
      <c r="SH5" s="190"/>
      <c r="SI5" s="190"/>
      <c r="SJ5" s="190"/>
      <c r="SK5" s="190"/>
      <c r="SL5" s="190"/>
      <c r="SM5" s="190"/>
      <c r="SN5" s="190"/>
      <c r="SO5" s="190"/>
      <c r="SP5" s="190"/>
      <c r="SQ5" s="190"/>
      <c r="SR5" s="190"/>
      <c r="SS5" s="190"/>
      <c r="ST5" s="190"/>
      <c r="SU5" s="190"/>
      <c r="SV5" s="190"/>
      <c r="SW5" s="190"/>
      <c r="SX5" s="190"/>
      <c r="SY5" s="190"/>
      <c r="SZ5" s="190"/>
      <c r="TA5" s="190"/>
      <c r="TB5" s="190"/>
      <c r="TC5" s="190"/>
      <c r="TD5" s="190"/>
      <c r="TE5" s="190"/>
      <c r="TF5" s="190"/>
      <c r="TG5" s="190"/>
      <c r="TH5" s="190"/>
      <c r="TI5" s="190"/>
      <c r="TJ5" s="190"/>
      <c r="TK5" s="190"/>
      <c r="TL5" s="190"/>
      <c r="TM5" s="190"/>
      <c r="TN5" s="190"/>
      <c r="TO5" s="190"/>
      <c r="TP5" s="190"/>
      <c r="TQ5" s="190"/>
      <c r="TR5" s="190"/>
      <c r="TS5" s="190"/>
      <c r="TT5" s="190"/>
      <c r="TU5" s="190"/>
      <c r="TV5" s="190"/>
      <c r="TW5" s="190"/>
      <c r="TX5" s="190"/>
      <c r="TY5" s="190"/>
      <c r="TZ5" s="190"/>
      <c r="UA5" s="190"/>
      <c r="UB5" s="190"/>
      <c r="UC5" s="190"/>
      <c r="UD5" s="190"/>
      <c r="UE5" s="190"/>
      <c r="UF5" s="190"/>
      <c r="UG5" s="190"/>
      <c r="UH5" s="190"/>
      <c r="UI5" s="190"/>
      <c r="UJ5" s="190"/>
      <c r="UK5" s="190"/>
      <c r="UL5" s="190"/>
      <c r="UM5" s="190"/>
      <c r="UN5" s="190"/>
      <c r="UO5" s="190"/>
      <c r="UP5" s="190"/>
      <c r="UQ5" s="190"/>
      <c r="UR5" s="190"/>
      <c r="US5" s="190"/>
      <c r="UT5" s="190"/>
      <c r="UU5" s="190"/>
      <c r="UV5" s="190"/>
      <c r="UW5" s="190"/>
      <c r="UX5" s="190"/>
      <c r="UY5" s="190"/>
      <c r="UZ5" s="190"/>
      <c r="VA5" s="190"/>
      <c r="VB5" s="190"/>
      <c r="VC5" s="190"/>
      <c r="VD5" s="190"/>
      <c r="VE5" s="190"/>
      <c r="VF5" s="190"/>
      <c r="VG5" s="190"/>
      <c r="VH5" s="190"/>
      <c r="VI5" s="190"/>
      <c r="VJ5" s="190"/>
      <c r="VK5" s="190"/>
      <c r="VL5" s="190"/>
      <c r="VM5" s="190"/>
      <c r="VN5" s="190"/>
      <c r="VO5" s="190"/>
      <c r="VP5" s="190"/>
      <c r="VQ5" s="190"/>
      <c r="VR5" s="190"/>
      <c r="VS5" s="190"/>
      <c r="VT5" s="190"/>
      <c r="VU5" s="190"/>
      <c r="VV5" s="190"/>
      <c r="VW5" s="190"/>
      <c r="VX5" s="190"/>
      <c r="VY5" s="190"/>
      <c r="VZ5" s="190"/>
      <c r="WA5" s="190"/>
      <c r="WB5" s="190"/>
      <c r="WC5" s="190"/>
      <c r="WD5" s="190"/>
      <c r="WE5" s="190"/>
      <c r="WF5" s="190"/>
      <c r="WG5" s="190"/>
      <c r="WH5" s="190"/>
      <c r="WI5" s="190"/>
      <c r="WJ5" s="190"/>
      <c r="WK5" s="190"/>
      <c r="WL5" s="190"/>
      <c r="WM5" s="190"/>
      <c r="WN5" s="190"/>
      <c r="WO5" s="190"/>
      <c r="WP5" s="190"/>
      <c r="WQ5" s="190"/>
      <c r="WR5" s="190"/>
      <c r="WS5" s="190"/>
      <c r="WT5" s="190"/>
      <c r="WU5" s="190"/>
      <c r="WV5" s="190"/>
      <c r="WW5" s="190"/>
      <c r="WX5" s="190"/>
      <c r="WY5" s="190"/>
      <c r="WZ5" s="190"/>
      <c r="XA5" s="190"/>
    </row>
    <row r="6" spans="1:702" ht="15" customHeight="1" thickBot="1" x14ac:dyDescent="0.4">
      <c r="A6" s="123" t="s">
        <v>189</v>
      </c>
      <c r="B6" s="124" t="str">
        <f>L17</f>
        <v/>
      </c>
      <c r="D6" s="236"/>
      <c r="L6" s="248" t="s">
        <v>227</v>
      </c>
      <c r="U6" s="257"/>
      <c r="V6" s="258"/>
      <c r="W6" s="258"/>
      <c r="X6" s="256"/>
      <c r="AQ6" s="245"/>
      <c r="AR6" s="256"/>
      <c r="AS6" s="256"/>
      <c r="AT6" s="256"/>
      <c r="AY6" s="245"/>
      <c r="AZ6" s="245"/>
      <c r="BA6" s="245"/>
      <c r="BB6" s="245"/>
      <c r="BC6" s="245"/>
      <c r="BZ6" s="240" t="s">
        <v>192</v>
      </c>
      <c r="CU6" s="190"/>
      <c r="DH6" s="190"/>
      <c r="EE6" s="733" t="s">
        <v>239</v>
      </c>
      <c r="EF6" s="731" t="s">
        <v>278</v>
      </c>
      <c r="EG6" s="724" t="s">
        <v>320</v>
      </c>
      <c r="EH6" s="724" t="s">
        <v>534</v>
      </c>
      <c r="EI6" s="724" t="s">
        <v>296</v>
      </c>
      <c r="EJ6" s="724" t="s">
        <v>297</v>
      </c>
      <c r="EK6" s="726" t="s">
        <v>298</v>
      </c>
      <c r="ID6" s="190"/>
      <c r="IE6" s="190"/>
      <c r="IF6" s="190"/>
      <c r="IG6" s="190"/>
      <c r="IH6" s="190"/>
      <c r="II6" s="190"/>
      <c r="IJ6" s="190"/>
      <c r="IK6" s="190"/>
      <c r="IL6" s="190"/>
      <c r="IM6" s="190"/>
      <c r="IN6" s="190"/>
      <c r="IO6" s="190"/>
      <c r="IP6" s="190"/>
      <c r="IQ6" s="190"/>
      <c r="IR6" s="190"/>
      <c r="IS6" s="190"/>
      <c r="IT6" s="190"/>
      <c r="IU6" s="190"/>
      <c r="IV6" s="190"/>
      <c r="IW6" s="190"/>
      <c r="IX6" s="190"/>
      <c r="IY6" s="190"/>
      <c r="IZ6" s="190"/>
      <c r="JA6" s="190"/>
      <c r="JB6" s="190"/>
      <c r="JC6" s="190"/>
      <c r="JD6" s="190"/>
      <c r="JE6" s="190"/>
      <c r="JF6" s="190"/>
      <c r="JG6" s="190"/>
      <c r="JH6" s="190"/>
      <c r="JI6" s="190"/>
      <c r="JJ6" s="190"/>
      <c r="JK6" s="190"/>
      <c r="JL6" s="190"/>
      <c r="JM6" s="190"/>
      <c r="JN6" s="190"/>
      <c r="JO6" s="190"/>
      <c r="JP6" s="190"/>
      <c r="JQ6" s="190"/>
      <c r="JR6" s="190"/>
      <c r="JS6" s="190"/>
      <c r="JT6" s="190"/>
      <c r="JU6" s="190"/>
      <c r="JV6" s="190"/>
      <c r="JW6" s="190"/>
      <c r="JX6" s="190"/>
      <c r="JY6" s="190"/>
      <c r="JZ6" s="190"/>
      <c r="KA6" s="190"/>
      <c r="KB6" s="190"/>
      <c r="KC6" s="190"/>
      <c r="KD6" s="190"/>
      <c r="KE6" s="190"/>
      <c r="KF6" s="190"/>
      <c r="KG6" s="190"/>
      <c r="KH6" s="190"/>
      <c r="KI6" s="190"/>
      <c r="KJ6" s="190"/>
      <c r="KK6" s="190"/>
      <c r="KL6" s="190"/>
      <c r="KM6" s="190"/>
      <c r="KN6" s="190"/>
      <c r="KO6" s="190"/>
      <c r="KP6" s="190"/>
      <c r="KQ6" s="190"/>
      <c r="KR6" s="190"/>
      <c r="KS6" s="190"/>
      <c r="KT6" s="190"/>
      <c r="KU6" s="190"/>
      <c r="KV6" s="190"/>
      <c r="KW6" s="190"/>
      <c r="KX6" s="190"/>
      <c r="KY6" s="190"/>
      <c r="KZ6" s="190"/>
      <c r="LA6" s="190"/>
      <c r="LB6" s="190"/>
      <c r="LC6" s="190"/>
      <c r="LD6" s="190"/>
      <c r="LE6" s="190"/>
      <c r="LF6" s="190"/>
      <c r="LG6" s="190"/>
      <c r="LH6" s="190"/>
      <c r="LI6" s="190"/>
      <c r="LJ6" s="190"/>
      <c r="LK6" s="190"/>
      <c r="LL6" s="190"/>
      <c r="LM6" s="190"/>
      <c r="LN6" s="190"/>
      <c r="LO6" s="190"/>
      <c r="LP6" s="190"/>
      <c r="LQ6" s="190"/>
      <c r="LR6" s="190"/>
      <c r="LS6" s="190"/>
      <c r="LT6" s="190"/>
      <c r="LU6" s="190"/>
      <c r="LV6" s="190"/>
      <c r="LW6" s="190"/>
      <c r="LX6" s="190"/>
      <c r="LY6" s="190"/>
      <c r="LZ6" s="190"/>
      <c r="MA6" s="190"/>
      <c r="MB6" s="190"/>
      <c r="MC6" s="190"/>
      <c r="MD6" s="190"/>
      <c r="ME6" s="190"/>
      <c r="MF6" s="190"/>
      <c r="MG6" s="190"/>
      <c r="MH6" s="190"/>
      <c r="MI6" s="190"/>
      <c r="MJ6" s="190"/>
      <c r="MK6" s="190"/>
      <c r="ML6" s="190"/>
      <c r="MM6" s="190"/>
      <c r="MN6" s="190"/>
      <c r="MO6" s="190"/>
      <c r="MP6" s="190"/>
      <c r="MQ6" s="190"/>
      <c r="MR6" s="190"/>
      <c r="MS6" s="190"/>
      <c r="MT6" s="190"/>
      <c r="MU6" s="190"/>
      <c r="MV6" s="190"/>
      <c r="MW6" s="190"/>
      <c r="MX6" s="190"/>
      <c r="MY6" s="190"/>
      <c r="MZ6" s="190"/>
      <c r="NA6" s="190"/>
      <c r="NB6" s="190"/>
      <c r="NC6" s="190"/>
      <c r="ND6" s="190"/>
      <c r="NE6" s="190"/>
      <c r="NF6" s="190"/>
      <c r="NG6" s="190"/>
      <c r="NH6" s="190"/>
      <c r="NI6" s="190"/>
      <c r="NJ6" s="190"/>
      <c r="NK6" s="190"/>
      <c r="NL6" s="190"/>
      <c r="NM6" s="190"/>
      <c r="NN6" s="190"/>
      <c r="NO6" s="190"/>
      <c r="NP6" s="190"/>
      <c r="NQ6" s="190"/>
      <c r="NR6" s="190"/>
      <c r="NS6" s="190"/>
      <c r="NT6" s="190"/>
      <c r="NU6" s="190"/>
      <c r="NV6" s="190"/>
      <c r="NW6" s="190"/>
      <c r="NX6" s="190"/>
      <c r="NY6" s="190"/>
      <c r="NZ6" s="190"/>
      <c r="OA6" s="190"/>
      <c r="OB6" s="190"/>
      <c r="OC6" s="190"/>
      <c r="OD6" s="190"/>
      <c r="OE6" s="190"/>
      <c r="OF6" s="190"/>
      <c r="OG6" s="190"/>
      <c r="OH6" s="190"/>
      <c r="OI6" s="190"/>
      <c r="OJ6" s="190"/>
      <c r="OK6" s="190"/>
      <c r="OL6" s="190"/>
      <c r="OM6" s="190"/>
      <c r="ON6" s="190"/>
      <c r="OO6" s="190"/>
      <c r="OP6" s="190"/>
      <c r="OQ6" s="190"/>
      <c r="OR6" s="190"/>
      <c r="OS6" s="190"/>
      <c r="OT6" s="190"/>
      <c r="OU6" s="190"/>
      <c r="OV6" s="190"/>
      <c r="OW6" s="190"/>
      <c r="OX6" s="190"/>
      <c r="OY6" s="190"/>
      <c r="OZ6" s="190"/>
      <c r="PA6" s="190"/>
      <c r="PB6" s="190"/>
      <c r="PC6" s="190"/>
      <c r="PD6" s="190"/>
      <c r="PE6" s="190"/>
      <c r="PF6" s="190"/>
      <c r="PG6" s="190"/>
      <c r="PH6" s="190"/>
      <c r="PI6" s="190"/>
      <c r="PJ6" s="190"/>
      <c r="PK6" s="190"/>
      <c r="PL6" s="190"/>
      <c r="PM6" s="190"/>
      <c r="PN6" s="190"/>
      <c r="PO6" s="190"/>
      <c r="PP6" s="190"/>
      <c r="PQ6" s="190"/>
      <c r="PR6" s="190"/>
      <c r="PS6" s="190"/>
      <c r="PT6" s="190"/>
      <c r="PU6" s="190"/>
      <c r="PV6" s="190"/>
      <c r="PW6" s="190"/>
      <c r="PX6" s="190"/>
      <c r="PY6" s="190"/>
      <c r="PZ6" s="190"/>
      <c r="QA6" s="190"/>
      <c r="QB6" s="190"/>
      <c r="QC6" s="190"/>
      <c r="QD6" s="190"/>
      <c r="QE6" s="190"/>
      <c r="QF6" s="190"/>
      <c r="QG6" s="190"/>
      <c r="QH6" s="190"/>
      <c r="QI6" s="190"/>
      <c r="QJ6" s="190"/>
      <c r="QK6" s="190"/>
      <c r="QL6" s="190"/>
      <c r="QM6" s="190"/>
      <c r="QN6" s="190"/>
      <c r="QO6" s="190"/>
      <c r="QP6" s="190"/>
      <c r="QQ6" s="190"/>
      <c r="QR6" s="190"/>
      <c r="QS6" s="190"/>
      <c r="QT6" s="190"/>
      <c r="QU6" s="190"/>
      <c r="QV6" s="190"/>
      <c r="QW6" s="190"/>
      <c r="QX6" s="190"/>
      <c r="QY6" s="190"/>
      <c r="QZ6" s="190"/>
      <c r="RA6" s="190"/>
      <c r="RB6" s="190"/>
      <c r="RC6" s="190"/>
      <c r="RD6" s="190"/>
      <c r="RE6" s="190"/>
      <c r="RF6" s="190"/>
      <c r="RG6" s="190"/>
      <c r="RH6" s="190"/>
      <c r="RI6" s="190"/>
      <c r="RJ6" s="190"/>
      <c r="RK6" s="190"/>
      <c r="RL6" s="190"/>
      <c r="RM6" s="190"/>
      <c r="RN6" s="190"/>
      <c r="RO6" s="190"/>
      <c r="RP6" s="190"/>
      <c r="RQ6" s="190"/>
      <c r="RR6" s="190"/>
      <c r="RS6" s="190"/>
      <c r="RT6" s="190"/>
      <c r="RU6" s="190"/>
      <c r="RV6" s="190"/>
      <c r="RW6" s="190"/>
      <c r="RX6" s="190"/>
      <c r="RY6" s="190"/>
      <c r="RZ6" s="190"/>
      <c r="SA6" s="190"/>
      <c r="SB6" s="190"/>
      <c r="SC6" s="190"/>
      <c r="SD6" s="190"/>
      <c r="SE6" s="190"/>
      <c r="SF6" s="190"/>
      <c r="SG6" s="190"/>
      <c r="SH6" s="190"/>
      <c r="SI6" s="190"/>
      <c r="SJ6" s="190"/>
      <c r="SK6" s="190"/>
      <c r="SL6" s="190"/>
      <c r="SM6" s="190"/>
      <c r="SN6" s="190"/>
      <c r="SO6" s="190"/>
      <c r="SP6" s="190"/>
      <c r="SQ6" s="190"/>
      <c r="SR6" s="190"/>
      <c r="SS6" s="190"/>
      <c r="ST6" s="190"/>
      <c r="SU6" s="190"/>
      <c r="SV6" s="190"/>
      <c r="SW6" s="190"/>
      <c r="SX6" s="190"/>
      <c r="SY6" s="190"/>
      <c r="SZ6" s="190"/>
      <c r="TA6" s="190"/>
      <c r="TB6" s="190"/>
      <c r="TC6" s="190"/>
      <c r="TD6" s="190"/>
      <c r="TE6" s="190"/>
      <c r="TF6" s="190"/>
      <c r="TG6" s="190"/>
      <c r="TH6" s="190"/>
      <c r="TI6" s="190"/>
      <c r="TJ6" s="190"/>
      <c r="TK6" s="190"/>
      <c r="TL6" s="190"/>
      <c r="TM6" s="190"/>
      <c r="TN6" s="190"/>
      <c r="TO6" s="190"/>
      <c r="TP6" s="190"/>
      <c r="TQ6" s="190"/>
      <c r="TR6" s="190"/>
      <c r="TS6" s="190"/>
      <c r="TT6" s="190"/>
      <c r="TU6" s="190"/>
      <c r="TV6" s="190"/>
      <c r="TW6" s="190"/>
      <c r="TX6" s="190"/>
      <c r="TY6" s="190"/>
      <c r="TZ6" s="190"/>
      <c r="UA6" s="190"/>
      <c r="UB6" s="190"/>
      <c r="UC6" s="190"/>
      <c r="UD6" s="190"/>
      <c r="UE6" s="190"/>
      <c r="UF6" s="190"/>
      <c r="UG6" s="190"/>
      <c r="UH6" s="190"/>
      <c r="UI6" s="190"/>
      <c r="UJ6" s="190"/>
      <c r="UK6" s="190"/>
      <c r="UL6" s="190"/>
      <c r="UM6" s="190"/>
      <c r="UN6" s="190"/>
      <c r="UO6" s="190"/>
      <c r="UP6" s="190"/>
      <c r="UQ6" s="190"/>
      <c r="UR6" s="190"/>
      <c r="US6" s="190"/>
      <c r="UT6" s="190"/>
      <c r="UU6" s="190"/>
      <c r="UV6" s="190"/>
      <c r="UW6" s="190"/>
      <c r="UX6" s="190"/>
      <c r="UY6" s="190"/>
      <c r="UZ6" s="190"/>
      <c r="VA6" s="190"/>
      <c r="VB6" s="190"/>
      <c r="VC6" s="190"/>
      <c r="VD6" s="190"/>
      <c r="VE6" s="190"/>
      <c r="VF6" s="190"/>
      <c r="VG6" s="190"/>
      <c r="VH6" s="190"/>
      <c r="VI6" s="190"/>
      <c r="VJ6" s="190"/>
      <c r="VK6" s="190"/>
      <c r="VL6" s="190"/>
      <c r="VM6" s="190"/>
      <c r="VN6" s="190"/>
      <c r="VO6" s="190"/>
      <c r="VP6" s="190"/>
      <c r="VQ6" s="190"/>
      <c r="VR6" s="190"/>
      <c r="VS6" s="190"/>
      <c r="VT6" s="190"/>
      <c r="VU6" s="190"/>
      <c r="VV6" s="190"/>
      <c r="VW6" s="190"/>
      <c r="VX6" s="190"/>
      <c r="VY6" s="190"/>
      <c r="VZ6" s="190"/>
      <c r="WA6" s="190"/>
      <c r="WB6" s="190"/>
      <c r="WC6" s="190"/>
      <c r="WD6" s="190"/>
      <c r="WE6" s="190"/>
      <c r="WF6" s="190"/>
      <c r="WG6" s="190"/>
      <c r="WH6" s="190"/>
      <c r="WI6" s="190"/>
      <c r="WJ6" s="190"/>
      <c r="WK6" s="190"/>
      <c r="WL6" s="190"/>
      <c r="WM6" s="190"/>
      <c r="WN6" s="190"/>
      <c r="WO6" s="190"/>
      <c r="WP6" s="190"/>
      <c r="WQ6" s="190"/>
      <c r="WR6" s="190"/>
      <c r="WS6" s="190"/>
      <c r="WT6" s="190"/>
      <c r="WU6" s="190"/>
      <c r="WV6" s="190"/>
      <c r="WW6" s="190"/>
      <c r="WX6" s="190"/>
      <c r="WY6" s="190"/>
      <c r="WZ6" s="190"/>
      <c r="XA6" s="190"/>
    </row>
    <row r="7" spans="1:702" ht="15" customHeight="1" thickBot="1" x14ac:dyDescent="0.4">
      <c r="A7" s="123" t="s">
        <v>226</v>
      </c>
      <c r="B7" s="124" t="str">
        <f>IFERROR(VLOOKUP(B4,orderData[],2,FALSE),"")</f>
        <v/>
      </c>
      <c r="D7" s="238"/>
      <c r="E7" s="238"/>
      <c r="F7" s="238"/>
      <c r="G7" s="238"/>
      <c r="H7" s="238"/>
      <c r="I7" s="238"/>
      <c r="J7" s="238"/>
      <c r="K7" s="238"/>
      <c r="L7" s="527" t="s">
        <v>51</v>
      </c>
      <c r="M7" s="528" t="s">
        <v>44</v>
      </c>
      <c r="N7" s="528" t="s">
        <v>228</v>
      </c>
      <c r="O7" s="528" t="s">
        <v>50</v>
      </c>
      <c r="P7" s="528" t="s">
        <v>59</v>
      </c>
      <c r="Q7" s="528" t="s">
        <v>60</v>
      </c>
      <c r="R7" s="528" t="s">
        <v>246</v>
      </c>
      <c r="S7" s="528" t="s">
        <v>295</v>
      </c>
      <c r="T7" s="528" t="s">
        <v>63</v>
      </c>
      <c r="U7" s="529" t="s">
        <v>67</v>
      </c>
      <c r="V7" s="528" t="s">
        <v>58</v>
      </c>
      <c r="W7" s="530" t="s">
        <v>334</v>
      </c>
      <c r="X7" s="256"/>
      <c r="AR7" s="256"/>
      <c r="AS7" s="256"/>
      <c r="AT7" s="256"/>
      <c r="AY7" s="259"/>
      <c r="AZ7" s="238"/>
      <c r="BB7" s="259"/>
      <c r="BC7" s="238"/>
      <c r="BZ7" s="468" t="s">
        <v>0</v>
      </c>
      <c r="CA7" s="469" t="s">
        <v>5</v>
      </c>
      <c r="CB7" s="469" t="s">
        <v>45</v>
      </c>
      <c r="CC7" s="469" t="s">
        <v>247</v>
      </c>
      <c r="CD7" s="469" t="s">
        <v>46</v>
      </c>
      <c r="CE7" s="469" t="s">
        <v>47</v>
      </c>
      <c r="CF7" s="469" t="s">
        <v>48</v>
      </c>
      <c r="CG7" s="469" t="s">
        <v>195</v>
      </c>
      <c r="CH7" s="469" t="s">
        <v>243</v>
      </c>
      <c r="CI7" s="469" t="s">
        <v>196</v>
      </c>
      <c r="CJ7" s="469" t="s">
        <v>13</v>
      </c>
      <c r="CK7" s="469" t="s">
        <v>14</v>
      </c>
      <c r="CL7" s="469" t="s">
        <v>16</v>
      </c>
      <c r="CM7" s="469" t="s">
        <v>1</v>
      </c>
      <c r="CN7" s="469" t="s">
        <v>43</v>
      </c>
      <c r="CO7" s="469" t="s">
        <v>4</v>
      </c>
      <c r="CP7" s="469" t="s">
        <v>307</v>
      </c>
      <c r="CQ7" s="469" t="s">
        <v>291</v>
      </c>
      <c r="CR7" s="469" t="s">
        <v>49</v>
      </c>
      <c r="CS7" s="469" t="s">
        <v>248</v>
      </c>
      <c r="CT7" s="470" t="s">
        <v>249</v>
      </c>
      <c r="CU7" s="83" t="s">
        <v>299</v>
      </c>
      <c r="DH7" s="190"/>
      <c r="EE7" s="734"/>
      <c r="EF7" s="732"/>
      <c r="EG7" s="725"/>
      <c r="EH7" s="725"/>
      <c r="EI7" s="725"/>
      <c r="EJ7" s="725"/>
      <c r="EK7" s="727"/>
      <c r="ID7" s="190"/>
      <c r="IE7" s="190"/>
      <c r="IF7" s="190"/>
      <c r="IG7" s="190"/>
      <c r="IH7" s="190"/>
      <c r="II7" s="190"/>
      <c r="IJ7" s="190"/>
      <c r="IK7" s="190"/>
      <c r="IL7" s="190"/>
      <c r="IM7" s="190"/>
      <c r="IN7" s="190"/>
      <c r="IO7" s="190"/>
      <c r="IP7" s="190"/>
      <c r="IQ7" s="190"/>
      <c r="IR7" s="190"/>
      <c r="IS7" s="190"/>
      <c r="IT7" s="190"/>
      <c r="IU7" s="190"/>
      <c r="IV7" s="190"/>
      <c r="IW7" s="190"/>
      <c r="IX7" s="190"/>
      <c r="IY7" s="190"/>
      <c r="IZ7" s="190"/>
      <c r="JA7" s="190"/>
      <c r="JB7" s="190"/>
      <c r="JC7" s="190"/>
      <c r="JD7" s="190"/>
      <c r="JE7" s="190"/>
      <c r="JF7" s="190"/>
      <c r="JG7" s="190"/>
      <c r="JH7" s="190"/>
      <c r="JI7" s="190"/>
      <c r="JJ7" s="190"/>
      <c r="JK7" s="190"/>
      <c r="JL7" s="190"/>
      <c r="JM7" s="190"/>
      <c r="JN7" s="190"/>
      <c r="JO7" s="190"/>
      <c r="JP7" s="190"/>
      <c r="JQ7" s="190"/>
      <c r="JR7" s="190"/>
      <c r="JS7" s="190"/>
      <c r="JT7" s="190"/>
      <c r="JU7" s="190"/>
      <c r="JV7" s="190"/>
      <c r="JW7" s="190"/>
      <c r="JX7" s="190"/>
      <c r="JY7" s="190"/>
      <c r="JZ7" s="190"/>
      <c r="KA7" s="190"/>
      <c r="KB7" s="190"/>
      <c r="KC7" s="190"/>
      <c r="KD7" s="190"/>
      <c r="KE7" s="190"/>
      <c r="KF7" s="190"/>
      <c r="KG7" s="190"/>
      <c r="KH7" s="190"/>
      <c r="KI7" s="190"/>
      <c r="KJ7" s="190"/>
      <c r="KK7" s="190"/>
      <c r="KL7" s="190"/>
      <c r="KM7" s="190"/>
      <c r="KN7" s="190"/>
      <c r="KO7" s="190"/>
      <c r="KP7" s="190"/>
      <c r="KQ7" s="190"/>
      <c r="KR7" s="190"/>
      <c r="KS7" s="190"/>
      <c r="KT7" s="190"/>
      <c r="KU7" s="190"/>
      <c r="KV7" s="190"/>
      <c r="KW7" s="190"/>
      <c r="KX7" s="190"/>
      <c r="KY7" s="190"/>
      <c r="KZ7" s="190"/>
      <c r="LA7" s="190"/>
      <c r="LB7" s="190"/>
      <c r="LC7" s="190"/>
      <c r="LD7" s="190"/>
      <c r="LE7" s="190"/>
      <c r="LF7" s="190"/>
      <c r="LG7" s="190"/>
      <c r="LH7" s="190"/>
      <c r="LI7" s="190"/>
      <c r="LJ7" s="190"/>
      <c r="LK7" s="190"/>
      <c r="LL7" s="190"/>
      <c r="LM7" s="190"/>
      <c r="LN7" s="190"/>
      <c r="LO7" s="190"/>
      <c r="LP7" s="190"/>
      <c r="LQ7" s="190"/>
      <c r="LR7" s="190"/>
      <c r="LS7" s="190"/>
      <c r="LT7" s="190"/>
      <c r="LU7" s="190"/>
      <c r="LV7" s="190"/>
      <c r="LW7" s="190"/>
      <c r="LX7" s="190"/>
      <c r="LY7" s="190"/>
      <c r="LZ7" s="190"/>
      <c r="MA7" s="190"/>
      <c r="MB7" s="190"/>
      <c r="MC7" s="190"/>
      <c r="MD7" s="190"/>
      <c r="ME7" s="190"/>
      <c r="MF7" s="190"/>
      <c r="MG7" s="190"/>
      <c r="MH7" s="190"/>
      <c r="MI7" s="190"/>
      <c r="MJ7" s="190"/>
      <c r="MK7" s="190"/>
      <c r="ML7" s="190"/>
      <c r="MM7" s="190"/>
      <c r="MN7" s="190"/>
      <c r="MO7" s="190"/>
      <c r="MP7" s="190"/>
      <c r="MQ7" s="190"/>
      <c r="MR7" s="190"/>
      <c r="MS7" s="190"/>
      <c r="MT7" s="190"/>
      <c r="MU7" s="190"/>
      <c r="MV7" s="190"/>
      <c r="MW7" s="190"/>
      <c r="MX7" s="190"/>
      <c r="MY7" s="190"/>
      <c r="MZ7" s="190"/>
      <c r="NA7" s="190"/>
      <c r="NB7" s="190"/>
      <c r="NC7" s="190"/>
      <c r="ND7" s="190"/>
      <c r="NE7" s="190"/>
      <c r="NF7" s="190"/>
      <c r="NG7" s="190"/>
      <c r="NH7" s="190"/>
      <c r="NI7" s="190"/>
      <c r="NJ7" s="190"/>
      <c r="NK7" s="190"/>
      <c r="NL7" s="190"/>
      <c r="NM7" s="190"/>
      <c r="NN7" s="190"/>
      <c r="NO7" s="190"/>
      <c r="NP7" s="190"/>
      <c r="NQ7" s="190"/>
      <c r="NR7" s="190"/>
      <c r="NS7" s="190"/>
      <c r="NT7" s="190"/>
      <c r="NU7" s="190"/>
      <c r="NV7" s="190"/>
      <c r="NW7" s="190"/>
      <c r="NX7" s="190"/>
      <c r="NY7" s="190"/>
      <c r="NZ7" s="190"/>
      <c r="OA7" s="190"/>
      <c r="OB7" s="190"/>
      <c r="OC7" s="190"/>
      <c r="OD7" s="190"/>
      <c r="OE7" s="190"/>
      <c r="OF7" s="190"/>
      <c r="OG7" s="190"/>
      <c r="OH7" s="190"/>
      <c r="OI7" s="190"/>
      <c r="OJ7" s="190"/>
      <c r="OK7" s="190"/>
      <c r="OL7" s="190"/>
      <c r="OM7" s="190"/>
      <c r="ON7" s="190"/>
      <c r="OO7" s="190"/>
      <c r="OP7" s="190"/>
      <c r="OQ7" s="190"/>
      <c r="OR7" s="190"/>
      <c r="OS7" s="190"/>
      <c r="OT7" s="190"/>
      <c r="OU7" s="190"/>
      <c r="OV7" s="190"/>
      <c r="OW7" s="190"/>
      <c r="OX7" s="190"/>
      <c r="OY7" s="190"/>
      <c r="OZ7" s="190"/>
      <c r="PA7" s="190"/>
      <c r="PB7" s="190"/>
      <c r="PC7" s="190"/>
      <c r="PD7" s="190"/>
      <c r="PE7" s="190"/>
      <c r="PF7" s="190"/>
      <c r="PG7" s="190"/>
      <c r="PH7" s="190"/>
      <c r="PI7" s="190"/>
      <c r="PJ7" s="190"/>
      <c r="PK7" s="190"/>
      <c r="PL7" s="190"/>
      <c r="PM7" s="190"/>
      <c r="PN7" s="190"/>
      <c r="PO7" s="190"/>
      <c r="PP7" s="190"/>
      <c r="PQ7" s="190"/>
      <c r="PR7" s="190"/>
      <c r="PS7" s="190"/>
      <c r="PT7" s="190"/>
      <c r="PU7" s="190"/>
      <c r="PV7" s="190"/>
      <c r="PW7" s="190"/>
      <c r="PX7" s="190"/>
      <c r="PY7" s="190"/>
      <c r="PZ7" s="190"/>
      <c r="QA7" s="190"/>
      <c r="QB7" s="190"/>
      <c r="QC7" s="190"/>
      <c r="QD7" s="190"/>
      <c r="QE7" s="190"/>
      <c r="QF7" s="190"/>
      <c r="QG7" s="190"/>
      <c r="QH7" s="190"/>
      <c r="QI7" s="190"/>
      <c r="QJ7" s="190"/>
      <c r="QK7" s="190"/>
      <c r="QL7" s="190"/>
      <c r="QM7" s="190"/>
      <c r="QN7" s="190"/>
      <c r="QO7" s="190"/>
      <c r="QP7" s="190"/>
      <c r="QQ7" s="190"/>
      <c r="QR7" s="190"/>
      <c r="QS7" s="190"/>
      <c r="QT7" s="190"/>
      <c r="QU7" s="190"/>
      <c r="QV7" s="190"/>
      <c r="QW7" s="190"/>
      <c r="QX7" s="190"/>
      <c r="QY7" s="190"/>
      <c r="QZ7" s="190"/>
      <c r="RA7" s="190"/>
      <c r="RB7" s="190"/>
      <c r="RC7" s="190"/>
      <c r="RD7" s="190"/>
      <c r="RE7" s="190"/>
      <c r="RF7" s="190"/>
      <c r="RG7" s="190"/>
      <c r="RH7" s="190"/>
      <c r="RI7" s="190"/>
      <c r="RJ7" s="190"/>
      <c r="RK7" s="190"/>
      <c r="RL7" s="190"/>
      <c r="RM7" s="190"/>
      <c r="RN7" s="190"/>
      <c r="RO7" s="190"/>
      <c r="RP7" s="190"/>
      <c r="RQ7" s="190"/>
      <c r="RR7" s="190"/>
      <c r="RS7" s="190"/>
      <c r="RT7" s="190"/>
      <c r="RU7" s="190"/>
      <c r="RV7" s="190"/>
      <c r="RW7" s="190"/>
      <c r="RX7" s="190"/>
      <c r="RY7" s="190"/>
      <c r="RZ7" s="190"/>
      <c r="SA7" s="190"/>
      <c r="SB7" s="190"/>
      <c r="SC7" s="190"/>
      <c r="SD7" s="190"/>
      <c r="SE7" s="190"/>
      <c r="SF7" s="190"/>
      <c r="SG7" s="190"/>
      <c r="SH7" s="190"/>
      <c r="SI7" s="190"/>
      <c r="SJ7" s="190"/>
      <c r="SK7" s="190"/>
      <c r="SL7" s="190"/>
      <c r="SM7" s="190"/>
      <c r="SN7" s="190"/>
      <c r="SO7" s="190"/>
      <c r="SP7" s="190"/>
      <c r="SQ7" s="190"/>
      <c r="SR7" s="190"/>
      <c r="SS7" s="190"/>
      <c r="ST7" s="190"/>
      <c r="SU7" s="190"/>
      <c r="SV7" s="190"/>
      <c r="SW7" s="190"/>
      <c r="SX7" s="190"/>
      <c r="SY7" s="190"/>
      <c r="SZ7" s="190"/>
      <c r="TA7" s="190"/>
      <c r="TB7" s="190"/>
      <c r="TC7" s="190"/>
      <c r="TD7" s="190"/>
      <c r="TE7" s="190"/>
      <c r="TF7" s="190"/>
      <c r="TG7" s="190"/>
      <c r="TH7" s="190"/>
      <c r="TI7" s="190"/>
      <c r="TJ7" s="190"/>
      <c r="TK7" s="190"/>
      <c r="TL7" s="190"/>
      <c r="TM7" s="190"/>
      <c r="TN7" s="190"/>
      <c r="TO7" s="190"/>
      <c r="TP7" s="190"/>
      <c r="TQ7" s="190"/>
      <c r="TR7" s="190"/>
      <c r="TS7" s="190"/>
      <c r="TT7" s="190"/>
      <c r="TU7" s="190"/>
      <c r="TV7" s="190"/>
      <c r="TW7" s="190"/>
      <c r="TX7" s="190"/>
      <c r="TY7" s="190"/>
      <c r="TZ7" s="190"/>
      <c r="UA7" s="190"/>
      <c r="UB7" s="190"/>
      <c r="UC7" s="190"/>
      <c r="UD7" s="190"/>
      <c r="UE7" s="190"/>
      <c r="UF7" s="190"/>
      <c r="UG7" s="190"/>
      <c r="UH7" s="190"/>
      <c r="UI7" s="190"/>
      <c r="UJ7" s="190"/>
      <c r="UK7" s="190"/>
      <c r="UL7" s="190"/>
      <c r="UM7" s="190"/>
      <c r="UN7" s="190"/>
      <c r="UO7" s="190"/>
      <c r="UP7" s="190"/>
      <c r="UQ7" s="190"/>
      <c r="UR7" s="190"/>
      <c r="US7" s="190"/>
      <c r="UT7" s="190"/>
      <c r="UU7" s="190"/>
      <c r="UV7" s="190"/>
      <c r="UW7" s="190"/>
      <c r="UX7" s="190"/>
      <c r="UY7" s="190"/>
      <c r="UZ7" s="190"/>
      <c r="VA7" s="190"/>
      <c r="VB7" s="190"/>
      <c r="VC7" s="190"/>
      <c r="VD7" s="190"/>
      <c r="VE7" s="190"/>
      <c r="VF7" s="190"/>
      <c r="VG7" s="190"/>
      <c r="VH7" s="190"/>
      <c r="VI7" s="190"/>
      <c r="VJ7" s="190"/>
      <c r="VK7" s="190"/>
      <c r="VL7" s="190"/>
      <c r="VM7" s="190"/>
      <c r="VN7" s="190"/>
      <c r="VO7" s="190"/>
      <c r="VP7" s="190"/>
      <c r="VQ7" s="190"/>
      <c r="VR7" s="190"/>
      <c r="VS7" s="190"/>
      <c r="VT7" s="190"/>
      <c r="VU7" s="190"/>
      <c r="VV7" s="190"/>
      <c r="VW7" s="190"/>
      <c r="VX7" s="190"/>
      <c r="VY7" s="190"/>
      <c r="VZ7" s="190"/>
      <c r="WA7" s="190"/>
      <c r="WB7" s="190"/>
      <c r="WC7" s="190"/>
      <c r="WD7" s="190"/>
      <c r="WE7" s="190"/>
      <c r="WF7" s="190"/>
      <c r="WG7" s="190"/>
      <c r="WH7" s="190"/>
      <c r="WI7" s="190"/>
      <c r="WJ7" s="190"/>
      <c r="WK7" s="190"/>
      <c r="WL7" s="190"/>
      <c r="WM7" s="190"/>
      <c r="WN7" s="190"/>
      <c r="WO7" s="190"/>
      <c r="WP7" s="190"/>
      <c r="WQ7" s="190"/>
      <c r="WR7" s="190"/>
      <c r="WS7" s="190"/>
      <c r="WT7" s="190"/>
      <c r="WU7" s="190"/>
      <c r="WV7" s="190"/>
      <c r="WW7" s="190"/>
      <c r="WX7" s="190"/>
      <c r="WY7" s="190"/>
      <c r="WZ7" s="190"/>
      <c r="XA7" s="190"/>
    </row>
    <row r="8" spans="1:702" ht="15" customHeight="1" thickBot="1" x14ac:dyDescent="0.4">
      <c r="A8" s="123" t="s">
        <v>190</v>
      </c>
      <c r="B8" s="124">
        <v>0</v>
      </c>
      <c r="D8" s="239" t="s">
        <v>322</v>
      </c>
      <c r="F8" s="240" t="s">
        <v>220</v>
      </c>
      <c r="L8" s="280" t="str">
        <f t="array" ref="L8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M8" s="281" t="str">
        <f t="array" ref="M8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N8" s="282" t="str">
        <f t="array" ref="N8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O8" s="283" t="str">
        <f t="array" ref="O8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P8" s="284" t="str">
        <f t="array" ref="P8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Q8" s="531" t="str">
        <f t="array" ref="Q8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R8" s="286" t="str">
        <f t="array" ref="R8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S8" s="345" t="str">
        <f t="array" ref="S8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T8" s="287" t="str">
        <f t="array" ref="T8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U8" s="282" t="str">
        <f t="array" ref="U8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V8" s="287" t="str">
        <f t="array" ref="V8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W8" s="384" t="str">
        <f t="array" ref="W8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/>
      </c>
      <c r="X8" s="256"/>
      <c r="AO8" s="237"/>
      <c r="AQ8" s="240"/>
      <c r="AR8" s="256"/>
      <c r="AS8" s="256"/>
      <c r="AT8" s="256"/>
      <c r="AW8" s="240"/>
      <c r="BE8" s="240"/>
      <c r="BO8" s="260"/>
      <c r="BX8" s="237" t="s">
        <v>191</v>
      </c>
      <c r="BZ8" s="356"/>
      <c r="CA8" s="297" t="str">
        <f>IFERROR(IF(BZ8="","",INDEX(productData[description],MATCH(BZ8,productData[sku],0))),"")</f>
        <v/>
      </c>
      <c r="CB8" s="471"/>
      <c r="CC8" s="414"/>
      <c r="CD8" s="353"/>
      <c r="CE8" s="419"/>
      <c r="CF8" s="319"/>
      <c r="CG8" s="320" t="str">
        <f>IFERROR(ROUNDUP(CB8/INDEX(productData[units_per_carton],MATCH(BZ8,productData[sku],0)),0),"")</f>
        <v/>
      </c>
      <c r="CH8" s="321" t="str">
        <f>IFERROR(ROUNDUP(CD8/INDEX(productData[units_per_carton],MATCH(BZ8,productData[sku],0)),0),"")</f>
        <v/>
      </c>
      <c r="CI8" s="321" t="str">
        <f>IFERROR(ROUNDUP(CF8/INDEX(productData[units_per_carton],MATCH(BZ8,productData[sku])),0),"")</f>
        <v/>
      </c>
      <c r="CJ8" s="321" t="str">
        <f>IFERROR(((CB8+CD8+CF8)/INDEX(productData[units_per_carton],MATCH(BZ8,productData[sku],0)))*INDEX(productData[net_weight],MATCH(BZ8,productData[sku],0)),"")</f>
        <v/>
      </c>
      <c r="CK8" s="321" t="str">
        <f>IFERROR(((CB8+CD8+CF8)/INDEX(productData[units_per_carton],MATCH(BZ8,productData[sku],0)))*INDEX(productData[gross_weight],MATCH(BZ8,productData[sku],0)),"")</f>
        <v/>
      </c>
      <c r="CL8" s="407" t="str">
        <f>IFERROR((CB8+CD8+CF8)/INDEX(productData[units_per_carton],MATCH(BZ8,productData[sku],0))*INDEX(productData[length],MATCH(BZ8,productData[sku],0))*INDEX(productData[width],MATCH(BZ8,productData[sku],0))*INDEX(productData[height],MATCH(BZ8,productData[sku],0))/1000000000,"")</f>
        <v/>
      </c>
      <c r="CM8" s="322" t="str">
        <f>IFERROR(INDEX(productData[category],MATCH(BZ8,productData[sku],0)),"")</f>
        <v/>
      </c>
      <c r="CN8" s="322" t="str">
        <f>IFERROR(INDEX(productData[size1],MATCH(BZ8,productData[sku],0)),"")</f>
        <v/>
      </c>
      <c r="CO8" s="323" t="str">
        <f>IFERROR(INDEX(productData[hs_code],MATCH(BZ8,productData[sku],0)),"")</f>
        <v/>
      </c>
      <c r="CP8" s="472" t="str">
        <f>IFERROR(INDEX(productData[sku_geko],MATCH(BZ8,productData[sku],0)),"")</f>
        <v/>
      </c>
      <c r="CQ8" s="319"/>
      <c r="CR8" s="374" t="str">
        <f>IFERROR(IF(BZ8="","",IF($BX$15="SALE",INDEX(inventory[COSTO UNITARIO],MATCH(BZ8,inventory[SKU],0)),IF($BX$15="SAMPLING",INDEX(inventory[COSTO UNITARIO],MATCH(BZ8,inventory[SKU],0)),""))),"")</f>
        <v/>
      </c>
      <c r="CS8" s="374" t="str">
        <f t="shared" ref="CS8:CS21" si="0">IFERROR(IF(BZ8="","",(CB8+CD8)*CR8),"")</f>
        <v/>
      </c>
      <c r="CT8" s="422" t="str">
        <f t="shared" ref="CT8:CT21" si="1">IF(BZ8="","",CB8*CC8+CD8*CE8)</f>
        <v/>
      </c>
      <c r="CU8" s="348" t="str">
        <f>IF(BZ8="","",IF(OR($BX$15="PRODUCTION",$BX$15="SUPPLY"),"",IF(OR($CY$32=TRUE,$CY$32="GOODS SENT"),"OK",VLOOKUP(BZ8,$EE$6:$EK$400,7,FALSE)+IF(OR($BX$15="SALE",$BX$15="SAMPLING"),-(CB8+CD8+CF8),(CB8+CD8+CF8)))))</f>
        <v/>
      </c>
      <c r="CW8" s="240" t="s">
        <v>193</v>
      </c>
      <c r="DB8" s="190"/>
      <c r="DH8" s="190"/>
      <c r="EC8" s="237" t="s">
        <v>259</v>
      </c>
      <c r="EE8" s="324">
        <f t="array" ref="EE8">IFERROR(IF($EC$9="",IF($EC$11="",IF($EC$13="",INDEX(productData[sku],SMALL(MATCH(ROW(productData[sku]),ROW(productData[sku])),ROWS($A15:A$15)+$B$3)),INDEX(productData[sku],SMALL(IF(ISNUMBER(MATCH(productData[size1],$EC$13,0)),MATCH(ROW(productData[sku]),ROW(productData[sku])),""),ROWS($A13:A$15)+$B$3))),IF($EC$13="",INDEX(productData[sku],SMALL(IF(ISNUMBER(MATCH(productData[sex],$EC$11,0)),MATCH(ROW(productData[sku]),ROW(productData[sku])),""),ROWS($A13:A$15)+$B$3)),INDEX(productData[sku],SMALL(IF(ISNUMBER(MATCH(productData[sex],$EC$11,0)*MATCH(productData[size1],$EC$13,0)),MATCH(ROW(productData[sku]),ROW(productData[sku])),""),ROWS($A13:A$15)+$B$3)))),IF($EC$11="",IF($EC$13="",INDEX(productData[sku],SMALL(IF(ISNUMBER(MATCH(productData[category],$EC$9,0)),MATCH(ROW(productData[sku]),ROW(productData[sku])),""),ROWS($A13:A$15)+$B$3)),INDEX(productData[sku],SMALL(IF(ISNUMBER(MATCH(productData[category],$EC$9,0)*MATCH(productData[size1],$EC$13,0)),MATCH(ROW(productData[sku]),ROW(productData[sku])),""),ROWS($A13:A$15)+$B$3))),IF($EC$13="",INDEX(productData[sku],SMALL(IF(ISNUMBER(MATCH(productData[category],$EC$9,0)*MATCH(productData[sex],$EC$11,0)),MATCH(ROW(productData[sku]),ROW(productData[sku])),""),ROWS($A13:A$15)+$B$3)),INDEX(productData[sku],SMALL(IF(ISNUMBER(MATCH(productData[category],$EC$9,0)*MATCH(productData[sex],$EC$11,0)*MATCH(productData[size1],$EC$13,0)),MATCH(ROW(productData[sku]),ROW(productData[sku])),""),ROWS($A13:A$15)+$B$3))))),"")</f>
        <v>0</v>
      </c>
      <c r="EF8" s="492">
        <f t="array" ref="EF8">IFERROR(IF($EC$9="",IF($EC$11="",IF($EC$13="",INDEX(productData[description],SMALL(MATCH(ROW(productData[sku]),ROW(productData[sku])),ROWS($A15:A$15)+$B$3)),INDEX(productData[description],SMALL(IF(ISNUMBER(MATCH(productData[size1],$EC$13,0)),MATCH(ROW(productData[sku]),ROW(productData[sku])),""),ROWS($A13:A$15)+$B$3))),IF($EC$13="",INDEX(productData[description],SMALL(IF(ISNUMBER(MATCH(productData[sex],$EC$11,0)),MATCH(ROW(productData[sku]),ROW(productData[sku])),""),ROWS($A13:A$15)+$B$3)),INDEX(productData[description],SMALL(IF(ISNUMBER(MATCH(productData[sex],$EC$11,0)*MATCH(productData[size1],$EC$13,0)),MATCH(ROW(productData[sku]),ROW(productData[sku])),""),ROWS($A13:A$15)+$B$3)))),IF($EC$11="",IF($EC$13="",INDEX(productData[description],SMALL(IF(ISNUMBER(MATCH(productData[category],$EC$9,0)),MATCH(ROW(productData[sku]),ROW(productData[sku])),""),ROWS($A13:A$15)+$B$3)),INDEX(productData[description],SMALL(IF(ISNUMBER(MATCH(productData[category],$EC$9,0)*MATCH(productData[size1],$EC$13,0)),MATCH(ROW(productData[sku]),ROW(productData[sku])),""),ROWS($A13:A$15)+$B$3))),IF($EC$13="",INDEX(productData[description],SMALL(IF(ISNUMBER(MATCH(productData[category],$EC$9,0)*MATCH(productData[sex],$EC$11,0)),MATCH(ROW(productData[sku]),ROW(productData[sku])),""),ROWS($A13:A$15)+$B$3)),INDEX(productData[description],SMALL(IF(ISNUMBER(MATCH(productData[category],$EC$9,0)*MATCH(productData[sex],$EC$11,0)*MATCH(productData[size1],$EC$13,0)),MATCH(ROW(productData[sku]),ROW(productData[sku])),""),ROWS($A13:A$15)+$B$3))))),"")</f>
        <v>0</v>
      </c>
      <c r="EG8" s="325">
        <f>IFERROR(IF('BHPC MANAGER'!$EE8="","",INDEX(inventory[ESISTENZA],MATCH('BHPC MANAGER'!$EE8,inventory[SKU],0))),0)</f>
        <v>0</v>
      </c>
      <c r="EH8" s="326" t="s">
        <v>241</v>
      </c>
      <c r="EI8" s="326">
        <f t="shared" ref="EI8" si="2">IF(EE8="","",IFERROR(EG8+EH8,EG8))</f>
        <v>0</v>
      </c>
      <c r="EJ8" s="327" t="s">
        <v>241</v>
      </c>
      <c r="EK8" s="328">
        <f>IF(EE8="","",IFERROR(EI8+EJ8,EI8))</f>
        <v>0</v>
      </c>
      <c r="EM8" s="240"/>
      <c r="EN8" s="240"/>
      <c r="EO8" s="240"/>
      <c r="EP8" s="240"/>
      <c r="EQ8" s="240"/>
      <c r="ER8" s="240"/>
      <c r="FD8" s="248" t="s">
        <v>308</v>
      </c>
      <c r="FF8" s="237"/>
      <c r="FG8" s="237"/>
      <c r="FH8" s="237"/>
      <c r="FI8" s="237"/>
      <c r="FJ8" s="248" t="s">
        <v>318</v>
      </c>
      <c r="FL8" s="237"/>
      <c r="FM8" s="237"/>
      <c r="FN8" s="237"/>
      <c r="FO8" s="237"/>
      <c r="FP8" s="237"/>
      <c r="FQ8" s="237"/>
      <c r="FR8" s="237"/>
      <c r="FS8" s="237"/>
      <c r="FT8" s="237"/>
      <c r="FU8" s="237"/>
      <c r="FV8" s="237"/>
      <c r="FW8" s="237"/>
      <c r="FX8" s="237"/>
      <c r="FY8" s="237"/>
      <c r="FZ8" s="237"/>
      <c r="GA8" s="237"/>
      <c r="GB8" s="237"/>
      <c r="GC8" s="237"/>
      <c r="GD8" s="237"/>
      <c r="GE8" s="237"/>
      <c r="GF8" s="237"/>
      <c r="GG8" s="237"/>
      <c r="GH8" s="237"/>
      <c r="GI8" s="237"/>
      <c r="GJ8" s="237"/>
      <c r="GK8" s="237"/>
      <c r="GL8" s="237"/>
      <c r="GM8" s="237"/>
      <c r="GN8" s="237"/>
      <c r="GO8" s="237"/>
      <c r="GP8" s="237"/>
      <c r="GQ8" s="237"/>
      <c r="GR8" s="237"/>
      <c r="GS8" s="237"/>
      <c r="GT8" s="237"/>
      <c r="GU8" s="237"/>
      <c r="GV8" s="237"/>
      <c r="GW8" s="237"/>
      <c r="GX8" s="237"/>
      <c r="GY8" s="237"/>
      <c r="GZ8" s="237"/>
      <c r="HA8" s="237"/>
      <c r="HB8" s="237"/>
      <c r="HC8" s="237"/>
      <c r="HD8" s="237"/>
      <c r="HE8" s="237"/>
      <c r="HF8" s="237"/>
      <c r="HG8" s="237"/>
      <c r="HH8" s="237"/>
      <c r="HI8" s="237"/>
      <c r="HJ8" s="237"/>
      <c r="HK8" s="237"/>
      <c r="HL8" s="237"/>
      <c r="HM8" s="237"/>
      <c r="HN8" s="237"/>
      <c r="HO8" s="237"/>
      <c r="HP8" s="237"/>
      <c r="HQ8" s="237"/>
      <c r="HR8" s="237"/>
      <c r="HS8" s="237"/>
      <c r="HT8" s="237"/>
      <c r="ID8" s="190"/>
      <c r="IE8" s="190"/>
      <c r="IF8" s="190"/>
      <c r="IG8" s="190"/>
      <c r="IH8" s="190"/>
      <c r="II8" s="190"/>
      <c r="IJ8" s="190"/>
      <c r="IK8" s="190"/>
      <c r="IL8" s="190"/>
      <c r="IM8" s="190"/>
      <c r="IN8" s="190"/>
      <c r="IO8" s="190"/>
      <c r="IP8" s="190"/>
      <c r="IQ8" s="190"/>
      <c r="IR8" s="190"/>
      <c r="IS8" s="190"/>
      <c r="IT8" s="190"/>
      <c r="IU8" s="190"/>
      <c r="IV8" s="190"/>
      <c r="IW8" s="190"/>
      <c r="IX8" s="190"/>
      <c r="IY8" s="190"/>
      <c r="IZ8" s="190"/>
      <c r="JA8" s="190"/>
      <c r="JB8" s="190"/>
      <c r="JC8" s="190"/>
      <c r="JD8" s="190"/>
      <c r="JE8" s="190"/>
      <c r="JF8" s="190"/>
      <c r="JG8" s="190"/>
      <c r="JH8" s="190"/>
      <c r="JI8" s="190"/>
      <c r="JJ8" s="190"/>
      <c r="JK8" s="190"/>
      <c r="JL8" s="190"/>
      <c r="JM8" s="190"/>
      <c r="JN8" s="190"/>
      <c r="JO8" s="190"/>
      <c r="JP8" s="190"/>
      <c r="JQ8" s="190"/>
      <c r="JR8" s="190"/>
      <c r="JS8" s="190"/>
      <c r="JT8" s="190"/>
      <c r="JU8" s="190"/>
      <c r="JV8" s="190"/>
      <c r="JW8" s="190"/>
      <c r="JX8" s="190"/>
      <c r="JY8" s="190"/>
      <c r="JZ8" s="190"/>
      <c r="KA8" s="190"/>
      <c r="KB8" s="190"/>
      <c r="KC8" s="190"/>
      <c r="KD8" s="190"/>
      <c r="KE8" s="190"/>
      <c r="KF8" s="190"/>
      <c r="KG8" s="190"/>
      <c r="KH8" s="190"/>
      <c r="KI8" s="190"/>
      <c r="KJ8" s="190"/>
      <c r="KK8" s="190"/>
      <c r="KL8" s="190"/>
      <c r="KM8" s="190"/>
      <c r="KN8" s="190"/>
      <c r="KO8" s="190"/>
      <c r="KP8" s="190"/>
      <c r="KQ8" s="190"/>
      <c r="KR8" s="190"/>
      <c r="KS8" s="190"/>
      <c r="KT8" s="190"/>
      <c r="KU8" s="190"/>
      <c r="KV8" s="190"/>
      <c r="KW8" s="190"/>
      <c r="KX8" s="190"/>
      <c r="KY8" s="190"/>
      <c r="KZ8" s="190"/>
      <c r="LA8" s="190"/>
      <c r="LB8" s="190"/>
      <c r="LC8" s="190"/>
      <c r="LD8" s="190"/>
      <c r="LE8" s="190"/>
      <c r="LF8" s="190"/>
      <c r="LG8" s="190"/>
      <c r="LH8" s="190"/>
      <c r="LI8" s="190"/>
      <c r="LJ8" s="190"/>
      <c r="LK8" s="190"/>
      <c r="LL8" s="190"/>
      <c r="LM8" s="190"/>
      <c r="LN8" s="190"/>
      <c r="LO8" s="190"/>
      <c r="LP8" s="190"/>
      <c r="LQ8" s="190"/>
      <c r="LR8" s="190"/>
      <c r="LS8" s="190"/>
      <c r="LT8" s="190"/>
      <c r="LU8" s="190"/>
      <c r="LV8" s="190"/>
      <c r="LW8" s="190"/>
      <c r="LX8" s="190"/>
      <c r="LY8" s="190"/>
      <c r="LZ8" s="190"/>
      <c r="MA8" s="190"/>
      <c r="MB8" s="190"/>
      <c r="MC8" s="190"/>
      <c r="MD8" s="190"/>
      <c r="ME8" s="190"/>
      <c r="MF8" s="190"/>
      <c r="MG8" s="190"/>
      <c r="MH8" s="190"/>
      <c r="MI8" s="190"/>
      <c r="MJ8" s="190"/>
      <c r="MK8" s="190"/>
      <c r="ML8" s="190"/>
      <c r="MM8" s="190"/>
      <c r="MN8" s="190"/>
      <c r="MO8" s="190"/>
      <c r="MP8" s="190"/>
      <c r="MQ8" s="190"/>
      <c r="MR8" s="190"/>
      <c r="MS8" s="190"/>
      <c r="MT8" s="190"/>
      <c r="MU8" s="190"/>
      <c r="MV8" s="190"/>
      <c r="MW8" s="190"/>
      <c r="MX8" s="190"/>
      <c r="MY8" s="190"/>
      <c r="MZ8" s="190"/>
      <c r="NA8" s="190"/>
      <c r="NB8" s="190"/>
      <c r="NC8" s="190"/>
      <c r="ND8" s="190"/>
      <c r="NE8" s="190"/>
      <c r="NF8" s="190"/>
      <c r="NG8" s="190"/>
      <c r="NH8" s="190"/>
      <c r="NI8" s="190"/>
      <c r="NJ8" s="190"/>
      <c r="NK8" s="190"/>
      <c r="NL8" s="190"/>
      <c r="NM8" s="190"/>
      <c r="NN8" s="190"/>
      <c r="NO8" s="190"/>
      <c r="NP8" s="190"/>
      <c r="NQ8" s="190"/>
      <c r="NR8" s="190"/>
      <c r="NS8" s="190"/>
      <c r="NT8" s="190"/>
      <c r="NU8" s="190"/>
      <c r="NV8" s="190"/>
      <c r="NW8" s="190"/>
      <c r="NX8" s="190"/>
      <c r="NY8" s="190"/>
      <c r="NZ8" s="190"/>
      <c r="OA8" s="190"/>
      <c r="OB8" s="190"/>
      <c r="OC8" s="190"/>
      <c r="OD8" s="190"/>
      <c r="OE8" s="190"/>
      <c r="OF8" s="190"/>
      <c r="OG8" s="190"/>
      <c r="OH8" s="190"/>
      <c r="OI8" s="190"/>
      <c r="OJ8" s="190"/>
      <c r="OK8" s="190"/>
      <c r="OL8" s="190"/>
      <c r="OM8" s="190"/>
      <c r="ON8" s="190"/>
      <c r="OO8" s="190"/>
      <c r="OP8" s="190"/>
      <c r="OQ8" s="190"/>
      <c r="OR8" s="190"/>
      <c r="OS8" s="190"/>
      <c r="OT8" s="190"/>
      <c r="OU8" s="190"/>
      <c r="OV8" s="190"/>
      <c r="OW8" s="190"/>
      <c r="OX8" s="190"/>
      <c r="OY8" s="190"/>
      <c r="OZ8" s="190"/>
      <c r="PA8" s="190"/>
      <c r="PB8" s="190"/>
      <c r="PC8" s="190"/>
      <c r="PD8" s="190"/>
      <c r="PE8" s="190"/>
      <c r="PF8" s="190"/>
      <c r="PG8" s="190"/>
      <c r="PH8" s="190"/>
      <c r="PI8" s="190"/>
      <c r="PJ8" s="190"/>
      <c r="PK8" s="190"/>
      <c r="PL8" s="190"/>
      <c r="PM8" s="190"/>
      <c r="PN8" s="190"/>
      <c r="PO8" s="190"/>
      <c r="PP8" s="190"/>
      <c r="PQ8" s="190"/>
      <c r="PR8" s="190"/>
      <c r="PS8" s="190"/>
      <c r="PT8" s="190"/>
      <c r="PU8" s="190"/>
      <c r="PV8" s="190"/>
      <c r="PW8" s="190"/>
      <c r="PX8" s="190"/>
      <c r="PY8" s="190"/>
      <c r="PZ8" s="190"/>
      <c r="QA8" s="190"/>
      <c r="QB8" s="190"/>
      <c r="QC8" s="190"/>
      <c r="QD8" s="190"/>
      <c r="QE8" s="190"/>
      <c r="QF8" s="190"/>
      <c r="QG8" s="190"/>
      <c r="QH8" s="190"/>
      <c r="QI8" s="190"/>
      <c r="QJ8" s="190"/>
      <c r="QK8" s="190"/>
      <c r="QL8" s="190"/>
      <c r="QM8" s="190"/>
      <c r="QN8" s="190"/>
      <c r="QO8" s="190"/>
      <c r="QP8" s="190"/>
      <c r="QQ8" s="190"/>
      <c r="QR8" s="190"/>
      <c r="QS8" s="190"/>
      <c r="QT8" s="190"/>
      <c r="QU8" s="190"/>
      <c r="QV8" s="190"/>
      <c r="QW8" s="190"/>
      <c r="QX8" s="190"/>
      <c r="QY8" s="190"/>
      <c r="QZ8" s="190"/>
      <c r="RA8" s="190"/>
      <c r="RB8" s="190"/>
      <c r="RC8" s="190"/>
      <c r="RD8" s="190"/>
      <c r="RE8" s="190"/>
      <c r="RF8" s="190"/>
      <c r="RG8" s="190"/>
      <c r="RH8" s="190"/>
      <c r="RI8" s="190"/>
      <c r="RJ8" s="190"/>
      <c r="RK8" s="190"/>
      <c r="RL8" s="190"/>
      <c r="RM8" s="190"/>
      <c r="RN8" s="190"/>
      <c r="RO8" s="190"/>
      <c r="RP8" s="190"/>
      <c r="RQ8" s="190"/>
      <c r="RR8" s="190"/>
      <c r="RS8" s="190"/>
      <c r="RT8" s="190"/>
      <c r="RU8" s="190"/>
      <c r="RV8" s="190"/>
      <c r="RW8" s="190"/>
      <c r="RX8" s="190"/>
      <c r="RY8" s="190"/>
      <c r="RZ8" s="190"/>
      <c r="SA8" s="190"/>
      <c r="SB8" s="190"/>
      <c r="SC8" s="190"/>
      <c r="SD8" s="190"/>
      <c r="SE8" s="190"/>
      <c r="SF8" s="190"/>
      <c r="SG8" s="190"/>
      <c r="SH8" s="190"/>
      <c r="SI8" s="190"/>
      <c r="SJ8" s="190"/>
      <c r="SK8" s="190"/>
      <c r="SL8" s="190"/>
      <c r="SM8" s="190"/>
      <c r="SN8" s="190"/>
      <c r="SO8" s="190"/>
      <c r="SP8" s="190"/>
      <c r="SQ8" s="190"/>
      <c r="SR8" s="190"/>
      <c r="SS8" s="190"/>
      <c r="ST8" s="190"/>
      <c r="SU8" s="190"/>
      <c r="SV8" s="190"/>
      <c r="SW8" s="190"/>
      <c r="SX8" s="190"/>
      <c r="SY8" s="190"/>
      <c r="SZ8" s="190"/>
      <c r="TA8" s="190"/>
      <c r="TB8" s="190"/>
      <c r="TC8" s="190"/>
      <c r="TD8" s="190"/>
      <c r="TE8" s="190"/>
      <c r="TF8" s="190"/>
      <c r="TG8" s="190"/>
      <c r="TH8" s="190"/>
      <c r="TI8" s="190"/>
      <c r="TJ8" s="190"/>
      <c r="TK8" s="190"/>
      <c r="TL8" s="190"/>
      <c r="TM8" s="190"/>
      <c r="TN8" s="190"/>
      <c r="TO8" s="190"/>
      <c r="TP8" s="190"/>
      <c r="TQ8" s="190"/>
      <c r="TR8" s="190"/>
      <c r="TS8" s="190"/>
      <c r="TT8" s="190"/>
      <c r="TU8" s="190"/>
      <c r="TV8" s="190"/>
      <c r="TW8" s="190"/>
      <c r="TX8" s="190"/>
      <c r="TY8" s="190"/>
      <c r="TZ8" s="190"/>
      <c r="UA8" s="190"/>
      <c r="UB8" s="190"/>
      <c r="UC8" s="190"/>
      <c r="UD8" s="190"/>
      <c r="UE8" s="190"/>
      <c r="UF8" s="190"/>
      <c r="UG8" s="190"/>
      <c r="UH8" s="190"/>
      <c r="UI8" s="190"/>
      <c r="UJ8" s="190"/>
      <c r="UK8" s="190"/>
      <c r="UL8" s="190"/>
      <c r="UM8" s="190"/>
      <c r="UN8" s="190"/>
      <c r="UO8" s="190"/>
      <c r="UP8" s="190"/>
      <c r="UQ8" s="190"/>
      <c r="UR8" s="190"/>
      <c r="US8" s="190"/>
      <c r="UT8" s="190"/>
      <c r="UU8" s="190"/>
      <c r="UV8" s="190"/>
      <c r="UW8" s="190"/>
      <c r="UX8" s="190"/>
      <c r="UY8" s="190"/>
      <c r="UZ8" s="190"/>
      <c r="VA8" s="190"/>
      <c r="VB8" s="190"/>
      <c r="VC8" s="190"/>
      <c r="VD8" s="190"/>
      <c r="VE8" s="190"/>
      <c r="VF8" s="190"/>
      <c r="VG8" s="190"/>
      <c r="VH8" s="190"/>
      <c r="VI8" s="190"/>
      <c r="VJ8" s="190"/>
      <c r="VK8" s="190"/>
      <c r="VL8" s="190"/>
      <c r="VM8" s="190"/>
      <c r="VN8" s="190"/>
      <c r="VO8" s="190"/>
      <c r="VP8" s="190"/>
      <c r="VQ8" s="190"/>
      <c r="VR8" s="190"/>
      <c r="VS8" s="190"/>
      <c r="VT8" s="190"/>
      <c r="VU8" s="190"/>
      <c r="VV8" s="190"/>
      <c r="VW8" s="190"/>
      <c r="VX8" s="190"/>
      <c r="VY8" s="190"/>
      <c r="VZ8" s="190"/>
      <c r="WA8" s="190"/>
      <c r="WB8" s="190"/>
      <c r="WC8" s="190"/>
      <c r="WD8" s="190"/>
      <c r="WE8" s="190"/>
      <c r="WF8" s="190"/>
      <c r="WG8" s="190"/>
      <c r="WH8" s="190"/>
      <c r="WI8" s="190"/>
      <c r="WJ8" s="190"/>
      <c r="WK8" s="190"/>
      <c r="WL8" s="190"/>
      <c r="WM8" s="190"/>
      <c r="WN8" s="190"/>
      <c r="WO8" s="190"/>
      <c r="WP8" s="190"/>
      <c r="WQ8" s="190"/>
      <c r="WR8" s="190"/>
      <c r="WS8" s="190"/>
      <c r="WT8" s="190"/>
      <c r="WU8" s="190"/>
      <c r="WV8" s="190"/>
      <c r="WW8" s="190"/>
      <c r="WX8" s="190"/>
      <c r="WY8" s="190"/>
      <c r="WZ8" s="190"/>
      <c r="XA8" s="190"/>
      <c r="ZF8" s="240"/>
      <c r="ZQ8" s="240"/>
    </row>
    <row r="9" spans="1:702" ht="15" customHeight="1" x14ac:dyDescent="0.35">
      <c r="A9" s="123" t="s">
        <v>229</v>
      </c>
      <c r="B9" s="124"/>
      <c r="D9" s="241"/>
      <c r="F9" s="78"/>
      <c r="G9" s="544" t="s">
        <v>194</v>
      </c>
      <c r="H9" s="70"/>
      <c r="L9" s="280" t="str">
        <f t="array" ref="L9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M9" s="281" t="str">
        <f t="array" ref="M9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N9" s="282" t="str">
        <f t="array" ref="N9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O9" s="283" t="str">
        <f t="array" ref="O9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P9" s="284" t="str">
        <f t="array" ref="P9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Q9" s="531" t="str">
        <f t="array" ref="Q9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R9" s="286" t="str">
        <f t="array" ref="R9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S9" s="345" t="str">
        <f t="array" ref="S9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T9" s="287" t="str">
        <f t="array" ref="T9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U9" s="282" t="str">
        <f t="array" ref="U9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V9" s="287" t="str">
        <f t="array" ref="V9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W9" s="384" t="str">
        <f t="array" ref="W9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AO9" s="244"/>
      <c r="AQ9" s="270"/>
      <c r="AR9" s="256"/>
      <c r="AS9" s="256"/>
      <c r="AT9" s="256"/>
      <c r="AX9" s="243"/>
      <c r="BO9" s="272"/>
      <c r="BX9" s="267">
        <f>IF($B$6="",$D$9,$B$6)</f>
        <v>0</v>
      </c>
      <c r="BZ9" s="356"/>
      <c r="CA9" s="297" t="str">
        <f>IFERROR(IF(BZ9="","",INDEX(productData[description],MATCH(BZ9,productData[sku],0))),"")</f>
        <v/>
      </c>
      <c r="CB9" s="471"/>
      <c r="CC9" s="414"/>
      <c r="CD9" s="353"/>
      <c r="CE9" s="419"/>
      <c r="CF9" s="319"/>
      <c r="CG9" s="320" t="str">
        <f>IFERROR(ROUNDUP(CB9/INDEX(productData[units_per_carton],MATCH(BZ9,productData[sku],0)),0),"")</f>
        <v/>
      </c>
      <c r="CH9" s="321" t="str">
        <f>IFERROR(ROUNDUP(CD9/INDEX(productData[units_per_carton],MATCH(BZ9,productData[sku],0)),0),"")</f>
        <v/>
      </c>
      <c r="CI9" s="321" t="str">
        <f>IFERROR(ROUNDUP(CF9/INDEX(productData[units_per_carton],MATCH(BZ9,productData[sku])),0),"")</f>
        <v/>
      </c>
      <c r="CJ9" s="321" t="str">
        <f>IFERROR(((CB9+CD9+CF9)/INDEX(productData[units_per_carton],MATCH(BZ9,productData[sku],0)))*INDEX(productData[net_weight],MATCH(BZ9,productData[sku],0)),"")</f>
        <v/>
      </c>
      <c r="CK9" s="321" t="str">
        <f>IFERROR(((CB9+CD9+CF9)/INDEX(productData[units_per_carton],MATCH(BZ9,productData[sku],0)))*INDEX(productData[gross_weight],MATCH(BZ9,productData[sku],0)),"")</f>
        <v/>
      </c>
      <c r="CL9" s="407" t="str">
        <f>IFERROR((CB9+CD9+CF9)/INDEX(productData[units_per_carton],MATCH(BZ9,productData[sku],0))*INDEX(productData[length],MATCH(BZ9,productData[sku],0))*INDEX(productData[width],MATCH(BZ9,productData[sku],0))*INDEX(productData[height],MATCH(BZ9,productData[sku],0))/1000000000,"")</f>
        <v/>
      </c>
      <c r="CM9" s="322" t="str">
        <f>IFERROR(INDEX(productData[category],MATCH(BZ9,productData[sku],0)),"")</f>
        <v/>
      </c>
      <c r="CN9" s="322" t="str">
        <f>IFERROR(INDEX(productData[size1],MATCH(BZ9,productData[sku],0)),"")</f>
        <v/>
      </c>
      <c r="CO9" s="323" t="str">
        <f>IFERROR(INDEX(productData[hs_code],MATCH(BZ9,productData[sku],0)),"")</f>
        <v/>
      </c>
      <c r="CP9" s="472" t="str">
        <f>IFERROR(INDEX(productData[sku_geko],MATCH(BZ9,productData[sku],0)),"")</f>
        <v/>
      </c>
      <c r="CQ9" s="319"/>
      <c r="CR9" s="375" t="str">
        <f>IFERROR(IF(BZ9="","",IF($BX$15="SALE",INDEX(inventory[COSTO UNITARIO],MATCH(BZ9,inventory[SKU],0)),IF($BX$15="SAMPLING",INDEX(inventory[COSTO UNITARIO],MATCH(BZ9,inventory[SKU],0)),""))),"")</f>
        <v/>
      </c>
      <c r="CS9" s="375" t="str">
        <f t="shared" si="0"/>
        <v/>
      </c>
      <c r="CT9" s="422" t="str">
        <f t="shared" si="1"/>
        <v/>
      </c>
      <c r="CU9" s="348" t="str">
        <f t="shared" ref="CU9:CU72" si="3">IF(BZ9="","",IF(OR($BX$15="PRODUCTION",$BX$15="SUPPLY"),"",IF(OR($CY$32=TRUE,$CY$32="GOODS SENT"),"OK",VLOOKUP(BZ9,$EE$6:$EK$400,7,FALSE)+IF(OR($BX$15="SALE",$BX$15="SAMPLING"),-(CB9+CD9+CF9),(CB9+CD9+CF9)))))</f>
        <v/>
      </c>
      <c r="CW9" s="85"/>
      <c r="CX9" s="69"/>
      <c r="CY9" s="69"/>
      <c r="CZ9" s="70"/>
      <c r="DB9" s="190"/>
      <c r="DH9" s="190"/>
      <c r="EC9" s="279"/>
      <c r="EE9" s="329" t="str">
        <f t="array" ref="EE9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14:A$15)+$B$3))),IF($EC$13="",INDEX(productData[sku],SMALL(IF(ISNUMBER(MATCH(productData[sex],$EC$11,0)),MATCH(ROW(productData[sku]),ROW(productData[sku])),""),ROWS($A14:A$15)+$B$3)),INDEX(productData[sku],SMALL(IF(ISNUMBER(MATCH(productData[sex],$EC$11,0)*MATCH(productData[size1],$EC$13,0)),MATCH(ROW(productData[sku]),ROW(productData[sku])),""),ROWS($A14:A$15)+$B$3)))),IF($EC$11="",IF($EC$13="",INDEX(productData[sku],SMALL(IF(ISNUMBER(MATCH(productData[category],$EC$9,0)),MATCH(ROW(productData[sku]),ROW(productData[sku])),""),ROWS($A14:A$15)+$B$3)),INDEX(productData[sku],SMALL(IF(ISNUMBER(MATCH(productData[category],$EC$9,0)*MATCH(productData[size1],$EC$13,0)),MATCH(ROW(productData[sku]),ROW(productData[sku])),""),ROWS($A14:A$15)+$B$3))),IF($EC$13="",INDEX(productData[sku],SMALL(IF(ISNUMBER(MATCH(productData[category],$EC$9,0)*MATCH(productData[sex],$EC$11,0)),MATCH(ROW(productData[sku]),ROW(productData[sku])),""),ROWS($A14:A$15)+$B$3)),INDEX(productData[sku],SMALL(IF(ISNUMBER(MATCH(productData[category],$EC$9,0)*MATCH(productData[sex],$EC$11,0)*MATCH(productData[size1],$EC$13,0)),MATCH(ROW(productData[sku]),ROW(productData[sku])),""),ROWS($A14:A$15)+$B$3))))),"")</f>
        <v/>
      </c>
      <c r="EF9" s="493" t="str">
        <f t="array" ref="EF9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14:A$15)+$B$3))),IF($EC$13="",INDEX(productData[description],SMALL(IF(ISNUMBER(MATCH(productData[sex],$EC$11,0)),MATCH(ROW(productData[sku]),ROW(productData[sku])),""),ROWS($A14:A$15)+$B$3)),INDEX(productData[description],SMALL(IF(ISNUMBER(MATCH(productData[sex],$EC$11,0)*MATCH(productData[size1],$EC$13,0)),MATCH(ROW(productData[sku]),ROW(productData[sku])),""),ROWS($A14:A$15)+$B$3)))),IF($EC$11="",IF($EC$13="",INDEX(productData[description],SMALL(IF(ISNUMBER(MATCH(productData[category],$EC$9,0)),MATCH(ROW(productData[sku]),ROW(productData[sku])),""),ROWS($A14:A$15)+$B$3)),INDEX(productData[description],SMALL(IF(ISNUMBER(MATCH(productData[category],$EC$9,0)*MATCH(productData[size1],$EC$13,0)),MATCH(ROW(productData[sku]),ROW(productData[sku])),""),ROWS($A14:A$15)+$B$3))),IF($EC$13="",INDEX(productData[description],SMALL(IF(ISNUMBER(MATCH(productData[category],$EC$9,0)*MATCH(productData[sex],$EC$11,0)),MATCH(ROW(productData[sku]),ROW(productData[sku])),""),ROWS($A14:A$15)+$B$3)),INDEX(productData[description],SMALL(IF(ISNUMBER(MATCH(productData[category],$EC$9,0)*MATCH(productData[sex],$EC$11,0)*MATCH(productData[size1],$EC$13,0)),MATCH(ROW(productData[sku]),ROW(productData[sku])),""),ROWS($A14:A$15)+$B$3))))),"")</f>
        <v/>
      </c>
      <c r="EG9" s="330" t="str">
        <f>IFERROR(IF('BHPC MANAGER'!$EE9="","",INDEX(inventory[ESISTENZA],MATCH('BHPC MANAGER'!$EE9,inventory[SKU],0))),0)</f>
        <v/>
      </c>
      <c r="EH9" s="331" t="s">
        <v>241</v>
      </c>
      <c r="EI9" s="331" t="str">
        <f t="shared" ref="EI9:EI72" si="4">IF(EE9="","",IFERROR(EG9+EH9,EG9))</f>
        <v/>
      </c>
      <c r="EJ9" s="332" t="s">
        <v>241</v>
      </c>
      <c r="EK9" s="333" t="str">
        <f t="shared" ref="EK9:EK72" si="5">IF(EE9="","",IFERROR(EI9+EJ9,EI9))</f>
        <v/>
      </c>
      <c r="FD9" s="359"/>
      <c r="FE9" s="360"/>
      <c r="FF9" s="361"/>
      <c r="FG9" s="361"/>
      <c r="FH9" s="362"/>
      <c r="FI9" s="237"/>
      <c r="FJ9" s="359"/>
      <c r="FK9" s="360"/>
      <c r="FL9" s="361"/>
      <c r="FM9" s="361"/>
      <c r="FN9" s="362"/>
      <c r="FO9" s="237"/>
      <c r="FP9" s="237"/>
      <c r="FQ9" s="237"/>
      <c r="FR9" s="237"/>
      <c r="FS9" s="237"/>
      <c r="FT9" s="237"/>
      <c r="FU9" s="237"/>
      <c r="FV9" s="237"/>
      <c r="FW9" s="237"/>
      <c r="FX9" s="237"/>
      <c r="FY9" s="237"/>
      <c r="FZ9" s="237"/>
      <c r="GA9" s="237"/>
      <c r="GB9" s="237"/>
      <c r="GC9" s="237"/>
      <c r="GD9" s="237"/>
      <c r="GE9" s="237"/>
      <c r="GF9" s="237"/>
      <c r="GG9" s="237"/>
      <c r="GH9" s="237"/>
      <c r="GI9" s="237"/>
      <c r="GJ9" s="237"/>
      <c r="GK9" s="237"/>
      <c r="GL9" s="237"/>
      <c r="GM9" s="237"/>
      <c r="GN9" s="237"/>
      <c r="GO9" s="237"/>
      <c r="GP9" s="237"/>
      <c r="GQ9" s="237"/>
      <c r="GR9" s="237"/>
      <c r="GS9" s="237"/>
      <c r="GT9" s="237"/>
      <c r="GU9" s="237"/>
      <c r="GV9" s="237"/>
      <c r="GW9" s="237"/>
      <c r="GX9" s="237"/>
      <c r="GY9" s="237"/>
      <c r="GZ9" s="237"/>
      <c r="HA9" s="237"/>
      <c r="HB9" s="237"/>
      <c r="HC9" s="237"/>
      <c r="HD9" s="237"/>
      <c r="HE9" s="237"/>
      <c r="HF9" s="237"/>
      <c r="HG9" s="237"/>
      <c r="HH9" s="237"/>
      <c r="HI9" s="237"/>
      <c r="HJ9" s="237"/>
      <c r="HK9" s="237"/>
      <c r="HL9" s="237"/>
      <c r="HM9" s="237"/>
      <c r="HN9" s="237"/>
      <c r="HO9" s="237"/>
      <c r="HP9" s="237"/>
      <c r="HQ9" s="237"/>
      <c r="HR9" s="237"/>
      <c r="HS9" s="237"/>
      <c r="HT9" s="237"/>
      <c r="ZF9" s="371"/>
      <c r="ZG9" s="371"/>
      <c r="ZH9" s="371"/>
      <c r="ZI9" s="371"/>
      <c r="ZJ9" s="371"/>
      <c r="ZK9" s="371"/>
      <c r="ZL9" s="371"/>
      <c r="ZM9" s="371"/>
      <c r="ZN9" s="371"/>
      <c r="ZO9" s="371"/>
      <c r="ZQ9" s="371"/>
      <c r="ZR9" s="371"/>
      <c r="ZS9" s="371"/>
      <c r="ZT9" s="371"/>
      <c r="ZU9" s="371"/>
      <c r="ZV9" s="371"/>
      <c r="ZW9" s="371"/>
      <c r="ZX9" s="371"/>
      <c r="ZY9" s="371"/>
      <c r="ZZ9" s="371"/>
    </row>
    <row r="10" spans="1:702" ht="15" customHeight="1" x14ac:dyDescent="0.35">
      <c r="A10" s="123" t="s">
        <v>369</v>
      </c>
      <c r="B10" s="127">
        <v>18</v>
      </c>
      <c r="D10" s="239" t="s">
        <v>197</v>
      </c>
      <c r="F10" s="79"/>
      <c r="G10" s="459" t="str">
        <f>IF($D$9="",IF($B$6="","Select an order from the list",INDEX(customerData[company_name1],MATCH($B$6,customerData[cod_cliente],0))),INDEX(customerData[company_name1],MATCH($D$9,customerData[cod_cliente],0)))</f>
        <v>Select an order from the list</v>
      </c>
      <c r="H10" s="72"/>
      <c r="L10" s="280" t="str">
        <f t="array" ref="L10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M10" s="281" t="str">
        <f t="array" ref="M10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N10" s="282" t="str">
        <f t="array" ref="N10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O10" s="283" t="str">
        <f t="array" ref="O10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P10" s="284" t="str">
        <f t="array" ref="P10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Q10" s="531" t="str">
        <f t="array" ref="Q10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R10" s="286" t="str">
        <f t="array" ref="R10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S10" s="345" t="str">
        <f t="array" ref="S10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T10" s="287" t="str">
        <f t="array" ref="T10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U10" s="282" t="str">
        <f t="array" ref="U10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V10" s="287" t="str">
        <f t="array" ref="V10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W10" s="384" t="str">
        <f t="array" ref="W10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AO10" s="237"/>
      <c r="AQ10" s="270"/>
      <c r="AR10" s="426"/>
      <c r="AS10" s="427"/>
      <c r="AT10" s="428"/>
      <c r="AW10" s="270"/>
      <c r="AX10" s="243"/>
      <c r="AZ10" s="238"/>
      <c r="BF10" s="429"/>
      <c r="BN10" s="424"/>
      <c r="BO10" s="273"/>
      <c r="BX10" s="237" t="s">
        <v>198</v>
      </c>
      <c r="BZ10" s="356"/>
      <c r="CA10" s="297" t="str">
        <f>IFERROR(IF(BZ10="","",INDEX(productData[description],MATCH(BZ10,productData[sku],0))),"")</f>
        <v/>
      </c>
      <c r="CB10" s="549"/>
      <c r="CC10" s="415"/>
      <c r="CD10" s="353"/>
      <c r="CE10" s="419"/>
      <c r="CF10" s="319"/>
      <c r="CG10" s="320" t="str">
        <f>IFERROR(ROUNDUP(CB10/INDEX(productData[units_per_carton],MATCH(BZ10,productData[sku],0)),0),"")</f>
        <v/>
      </c>
      <c r="CH10" s="321" t="str">
        <f>IFERROR(ROUNDUP(CD10/INDEX(productData[units_per_carton],MATCH(BZ10,productData[sku],0)),0),"")</f>
        <v/>
      </c>
      <c r="CI10" s="321" t="str">
        <f>IFERROR(ROUNDUP(CF10/INDEX(productData[units_per_carton],MATCH(BZ10,productData[sku])),0),"")</f>
        <v/>
      </c>
      <c r="CJ10" s="321" t="str">
        <f>IFERROR(((CB10+CD10+CF10)/INDEX(productData[units_per_carton],MATCH(BZ10,productData[sku],0)))*INDEX(productData[net_weight],MATCH(BZ10,productData[sku],0)),"")</f>
        <v/>
      </c>
      <c r="CK10" s="321" t="str">
        <f>IFERROR(((CB10+CD10+CF10)/INDEX(productData[units_per_carton],MATCH(BZ10,productData[sku],0)))*INDEX(productData[gross_weight],MATCH(BZ10,productData[sku],0)),"")</f>
        <v/>
      </c>
      <c r="CL10" s="407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22" t="str">
        <f>IFERROR(INDEX(productData[category],MATCH(BZ10,productData[sku],0)),"")</f>
        <v/>
      </c>
      <c r="CN10" s="322" t="str">
        <f>IFERROR(INDEX(productData[size1],MATCH(BZ10,productData[sku],0)),"")</f>
        <v/>
      </c>
      <c r="CO10" s="323" t="str">
        <f>IFERROR(INDEX(productData[hs_code],MATCH(BZ10,productData[sku],0)),"")</f>
        <v/>
      </c>
      <c r="CP10" s="472" t="str">
        <f>IFERROR(INDEX(productData[sku_geko],MATCH(BZ10,productData[sku],0)),"")</f>
        <v/>
      </c>
      <c r="CQ10" s="319"/>
      <c r="CR10" s="374" t="str">
        <f>IFERROR(IF(BZ10="","",IF($BX$15="SALE",INDEX(inventory[COSTO UNITARIO],MATCH(BZ10,inventory[SKU],0)),IF($BX$15="SAMPLING",INDEX(inventory[COSTO UNITARIO],MATCH(BZ10,inventory[SKU],0)),""))),"")</f>
        <v/>
      </c>
      <c r="CS10" s="374" t="str">
        <f t="shared" si="0"/>
        <v/>
      </c>
      <c r="CT10" s="422" t="str">
        <f t="shared" si="1"/>
        <v/>
      </c>
      <c r="CU10" s="348" t="str">
        <f t="shared" si="3"/>
        <v/>
      </c>
      <c r="CW10" s="75"/>
      <c r="CX10" s="77" t="s">
        <v>199</v>
      </c>
      <c r="CY10" s="460">
        <f>COUNTA($BZ$8:$BZ$110)</f>
        <v>0</v>
      </c>
      <c r="CZ10" s="72"/>
      <c r="DB10" s="190"/>
      <c r="DH10" s="190"/>
      <c r="EC10" s="237" t="s">
        <v>236</v>
      </c>
      <c r="EE10" s="509" t="str">
        <f t="array" ref="EE10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15:A$15)+$B$3))),IF($EC$13="",INDEX(productData[sku],SMALL(IF(ISNUMBER(MATCH(productData[sex],$EC$11,0)),MATCH(ROW(productData[sku]),ROW(productData[sku])),""),ROWS($A15:A$15)+$B$3)),INDEX(productData[sku],SMALL(IF(ISNUMBER(MATCH(productData[sex],$EC$11,0)*MATCH(productData[size1],$EC$13,0)),MATCH(ROW(productData[sku]),ROW(productData[sku])),""),ROWS($A15:A$15)+$B$3)))),IF($EC$11="",IF($EC$13="",INDEX(productData[sku],SMALL(IF(ISNUMBER(MATCH(productData[category],$EC$9,0)),MATCH(ROW(productData[sku]),ROW(productData[sku])),""),ROWS($A15:A$15)+$B$3)),INDEX(productData[sku],SMALL(IF(ISNUMBER(MATCH(productData[category],$EC$9,0)*MATCH(productData[size1],$EC$13,0)),MATCH(ROW(productData[sku]),ROW(productData[sku])),""),ROWS($A15:A$15)+$B$3))),IF($EC$13="",INDEX(productData[sku],SMALL(IF(ISNUMBER(MATCH(productData[category],$EC$9,0)*MATCH(productData[sex],$EC$11,0)),MATCH(ROW(productData[sku]),ROW(productData[sku])),""),ROWS($A15:A$15)+$B$3)),INDEX(productData[sku],SMALL(IF(ISNUMBER(MATCH(productData[category],$EC$9,0)*MATCH(productData[sex],$EC$11,0)*MATCH(productData[size1],$EC$13,0)),MATCH(ROW(productData[sku]),ROW(productData[sku])),""),ROWS($A15:A$15)+$B$3))))),"")</f>
        <v/>
      </c>
      <c r="EF10" s="510" t="str">
        <f t="array" ref="EF10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15:A$15)+$B$3))),IF($EC$13="",INDEX(productData[description],SMALL(IF(ISNUMBER(MATCH(productData[sex],$EC$11,0)),MATCH(ROW(productData[sku]),ROW(productData[sku])),""),ROWS($A15:A$15)+$B$3)),INDEX(productData[description],SMALL(IF(ISNUMBER(MATCH(productData[sex],$EC$11,0)*MATCH(productData[size1],$EC$13,0)),MATCH(ROW(productData[sku]),ROW(productData[sku])),""),ROWS($A15:A$15)+$B$3)))),IF($EC$11="",IF($EC$13="",INDEX(productData[description],SMALL(IF(ISNUMBER(MATCH(productData[category],$EC$9,0)),MATCH(ROW(productData[sku]),ROW(productData[sku])),""),ROWS($A15:A$15)+$B$3)),INDEX(productData[description],SMALL(IF(ISNUMBER(MATCH(productData[category],$EC$9,0)*MATCH(productData[size1],$EC$13,0)),MATCH(ROW(productData[sku]),ROW(productData[sku])),""),ROWS($A15:A$15)+$B$3))),IF($EC$13="",INDEX(productData[description],SMALL(IF(ISNUMBER(MATCH(productData[category],$EC$9,0)*MATCH(productData[sex],$EC$11,0)),MATCH(ROW(productData[sku]),ROW(productData[sku])),""),ROWS($A15:A$15)+$B$3)),INDEX(productData[description],SMALL(IF(ISNUMBER(MATCH(productData[category],$EC$9,0)*MATCH(productData[sex],$EC$11,0)*MATCH(productData[size1],$EC$13,0)),MATCH(ROW(productData[sku]),ROW(productData[sku])),""),ROWS($A15:A$15)+$B$3))))),"")</f>
        <v/>
      </c>
      <c r="EG10" s="511" t="str">
        <f>IFERROR(IF('BHPC MANAGER'!$EE10="","",INDEX(inventory[ESISTENZA],MATCH('BHPC MANAGER'!$EE10,inventory[SKU],0))),0)</f>
        <v/>
      </c>
      <c r="EH10" s="512" t="s">
        <v>241</v>
      </c>
      <c r="EI10" s="512" t="str">
        <f t="shared" si="4"/>
        <v/>
      </c>
      <c r="EJ10" s="513" t="s">
        <v>241</v>
      </c>
      <c r="EK10" s="514" t="str">
        <f t="shared" si="5"/>
        <v/>
      </c>
      <c r="FD10" s="363"/>
      <c r="FE10" s="190" t="s">
        <v>309</v>
      </c>
      <c r="FF10" s="369">
        <v>45444</v>
      </c>
      <c r="FG10" s="237"/>
      <c r="FH10" s="364"/>
      <c r="FI10" s="237"/>
      <c r="FJ10" s="363"/>
      <c r="FK10" s="190" t="s">
        <v>309</v>
      </c>
      <c r="FL10" s="369">
        <v>45292</v>
      </c>
      <c r="FM10" s="237"/>
      <c r="FN10" s="364"/>
      <c r="FO10" s="237"/>
      <c r="FP10" s="237"/>
      <c r="FQ10" s="237"/>
      <c r="FR10" s="237"/>
      <c r="FS10" s="237"/>
      <c r="FT10" s="237"/>
      <c r="FU10" s="237"/>
      <c r="FV10" s="237"/>
      <c r="FW10" s="237"/>
      <c r="FX10" s="237"/>
      <c r="FY10" s="237"/>
      <c r="FZ10" s="237"/>
      <c r="GA10" s="237"/>
      <c r="GB10" s="237"/>
      <c r="GC10" s="237"/>
      <c r="GD10" s="237"/>
      <c r="GE10" s="237"/>
      <c r="GF10" s="237"/>
      <c r="GG10" s="237"/>
      <c r="GH10" s="237"/>
      <c r="GI10" s="237"/>
      <c r="GJ10" s="237"/>
      <c r="GK10" s="237"/>
      <c r="GL10" s="237"/>
      <c r="GM10" s="237"/>
      <c r="GN10" s="237"/>
      <c r="GO10" s="237"/>
      <c r="GP10" s="237"/>
      <c r="GQ10" s="237"/>
      <c r="GR10" s="237"/>
      <c r="GS10" s="237"/>
      <c r="GT10" s="237"/>
      <c r="GU10" s="237"/>
      <c r="GV10" s="237"/>
      <c r="GW10" s="237"/>
      <c r="GX10" s="237"/>
      <c r="GY10" s="237"/>
      <c r="GZ10" s="237"/>
      <c r="HA10" s="237"/>
      <c r="HB10" s="237"/>
      <c r="HC10" s="237"/>
      <c r="HD10" s="237"/>
      <c r="HE10" s="237"/>
      <c r="HF10" s="237"/>
      <c r="HG10" s="237"/>
      <c r="HH10" s="237"/>
      <c r="HI10" s="237"/>
      <c r="HJ10" s="237"/>
      <c r="HK10" s="237"/>
      <c r="HL10" s="237"/>
      <c r="HM10" s="237"/>
      <c r="HN10" s="237"/>
      <c r="HO10" s="237"/>
      <c r="HP10" s="237"/>
      <c r="HQ10" s="237"/>
      <c r="HR10" s="237"/>
      <c r="HS10" s="237"/>
      <c r="HT10" s="237"/>
    </row>
    <row r="11" spans="1:702" ht="15" customHeight="1" x14ac:dyDescent="0.35">
      <c r="B11" s="122"/>
      <c r="D11" s="242" t="s">
        <v>537</v>
      </c>
      <c r="F11" s="79"/>
      <c r="G11" s="543" t="s">
        <v>200</v>
      </c>
      <c r="H11" s="72"/>
      <c r="L11" s="280" t="str">
        <f t="array" ref="L11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M11" s="281" t="str">
        <f t="array" ref="M11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N11" s="282" t="str">
        <f t="array" ref="N11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O11" s="283" t="str">
        <f t="array" ref="O11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P11" s="284" t="str">
        <f t="array" ref="P11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Q11" s="285" t="str">
        <f t="array" ref="Q11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R11" s="286" t="str">
        <f t="array" ref="R11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S11" s="345" t="str">
        <f t="array" ref="S11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T11" s="287" t="str">
        <f t="array" ref="T11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U11" s="282" t="str">
        <f t="array" ref="U11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V11" s="287" t="str">
        <f t="array" ref="V11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W11" s="384" t="str">
        <f t="array" ref="W11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AO11" s="344"/>
      <c r="AQ11" s="270"/>
      <c r="AR11" s="430"/>
      <c r="AS11" s="427"/>
      <c r="AT11" s="431"/>
      <c r="AW11" s="270"/>
      <c r="AX11" s="432"/>
      <c r="AZ11" s="433"/>
      <c r="BF11" s="239"/>
      <c r="BG11" s="429"/>
      <c r="BH11" s="239"/>
      <c r="BN11" s="425"/>
      <c r="BO11" s="263"/>
      <c r="BX11" s="268" t="str">
        <f>$B$4</f>
        <v/>
      </c>
      <c r="BZ11" s="356"/>
      <c r="CA11" s="297" t="str">
        <f>IFERROR(IF(BZ11="","",INDEX(productData[description],MATCH(BZ11,productData[sku],0))),"")</f>
        <v/>
      </c>
      <c r="CB11" s="299"/>
      <c r="CC11" s="414"/>
      <c r="CD11" s="307"/>
      <c r="CE11" s="417"/>
      <c r="CF11" s="300"/>
      <c r="CG11" s="301" t="str">
        <f>IFERROR(ROUNDUP(CB11/INDEX(productData[units_per_carton],MATCH(BZ11,productData[sku],0)),0),"")</f>
        <v/>
      </c>
      <c r="CH11" s="302" t="str">
        <f>IFERROR(ROUNDUP(CD11/INDEX(productData[units_per_carton],MATCH(BZ11,productData[sku],0)),0),"")</f>
        <v/>
      </c>
      <c r="CI11" s="302" t="str">
        <f>IFERROR(ROUNDUP(CF11/INDEX(productData[units_per_carton],MATCH(BZ11,productData[sku])),0),"")</f>
        <v/>
      </c>
      <c r="CJ11" s="302" t="str">
        <f>IFERROR(((CB11+CD11+CF11)/INDEX(productData[units_per_carton],MATCH(BZ11,productData[sku],0)))*INDEX(productData[net_weight],MATCH(BZ11,productData[sku],0)),"")</f>
        <v/>
      </c>
      <c r="CK11" s="302" t="str">
        <f>IFERROR(((CB11+CD11+CF11)/INDEX(productData[units_per_carton],MATCH(BZ11,productData[sku],0)))*INDEX(productData[gross_weight],MATCH(BZ11,productData[sku],0)),"")</f>
        <v/>
      </c>
      <c r="CL11" s="406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03" t="str">
        <f>IFERROR(INDEX(productData[category],MATCH(BZ11,productData[sku],0)),"")</f>
        <v/>
      </c>
      <c r="CN11" s="303" t="str">
        <f>IFERROR(INDEX(productData[size1],MATCH(BZ11,productData[sku],0)),"")</f>
        <v/>
      </c>
      <c r="CO11" s="304" t="str">
        <f>IFERROR(INDEX(productData[hs_code],MATCH(BZ11,productData[sku],0)),"")</f>
        <v/>
      </c>
      <c r="CP11" s="357" t="str">
        <f>IFERROR(INDEX(productData[sku_geko],MATCH(BZ11,productData[sku],0)),"")</f>
        <v/>
      </c>
      <c r="CQ11" s="300"/>
      <c r="CR11" s="374" t="str">
        <f>IFERROR(IF(BZ11="","",IF($BX$15="SALE",INDEX(inventory[COSTO UNITARIO],MATCH(BZ11,inventory[SKU],0)),IF($BX$15="SAMPLING",INDEX(inventory[COSTO UNITARIO],MATCH(BZ11,inventory[SKU],0)),""))),"")</f>
        <v/>
      </c>
      <c r="CS11" s="374" t="str">
        <f t="shared" si="0"/>
        <v/>
      </c>
      <c r="CT11" s="422" t="str">
        <f t="shared" si="1"/>
        <v/>
      </c>
      <c r="CU11" s="349" t="str">
        <f t="shared" si="3"/>
        <v/>
      </c>
      <c r="CW11" s="75"/>
      <c r="CX11" s="77" t="s">
        <v>250</v>
      </c>
      <c r="CY11" s="460">
        <f>COUNTA($CB$8:$CB$110)</f>
        <v>0</v>
      </c>
      <c r="CZ11" s="72"/>
      <c r="DB11" s="190"/>
      <c r="DH11" s="190"/>
      <c r="EC11" s="268"/>
      <c r="EE11" s="329" t="str">
        <f t="array" ref="EE11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/>
      </c>
      <c r="EF11" s="493" t="str">
        <f t="array" ref="EF11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/>
      </c>
      <c r="EG11" s="330" t="str">
        <f>IFERROR(IF('BHPC MANAGER'!$EE11="","",INDEX(inventory[ESISTENZA],MATCH('BHPC MANAGER'!$EE11,inventory[SKU],0))),0)</f>
        <v/>
      </c>
      <c r="EH11" s="331" t="s">
        <v>241</v>
      </c>
      <c r="EI11" s="331" t="str">
        <f t="shared" si="4"/>
        <v/>
      </c>
      <c r="EJ11" s="332" t="s">
        <v>241</v>
      </c>
      <c r="EK11" s="333" t="str">
        <f t="shared" si="5"/>
        <v/>
      </c>
      <c r="FD11" s="363"/>
      <c r="FF11" s="237"/>
      <c r="FG11" s="237"/>
      <c r="FH11" s="364"/>
      <c r="FI11" s="237"/>
      <c r="FJ11" s="363"/>
      <c r="FL11" s="237"/>
      <c r="FM11" s="237"/>
      <c r="FN11" s="364"/>
      <c r="FO11" s="237"/>
      <c r="FP11" s="237"/>
      <c r="FQ11" s="237"/>
      <c r="FR11" s="237"/>
      <c r="FS11" s="237"/>
      <c r="FT11" s="237"/>
      <c r="FU11" s="237"/>
      <c r="FV11" s="237"/>
      <c r="FW11" s="237"/>
      <c r="FX11" s="237"/>
      <c r="FY11" s="237"/>
      <c r="FZ11" s="237"/>
      <c r="GA11" s="237"/>
      <c r="GB11" s="237"/>
      <c r="GC11" s="237"/>
      <c r="GD11" s="237"/>
      <c r="GE11" s="237"/>
      <c r="GF11" s="237"/>
      <c r="GG11" s="237"/>
      <c r="GH11" s="237"/>
      <c r="GI11" s="237"/>
      <c r="GJ11" s="237"/>
      <c r="GK11" s="237"/>
      <c r="GL11" s="237"/>
      <c r="GM11" s="237"/>
      <c r="GN11" s="237"/>
      <c r="GO11" s="237"/>
      <c r="GP11" s="237"/>
      <c r="GQ11" s="237"/>
      <c r="GR11" s="237"/>
      <c r="GS11" s="237"/>
      <c r="GT11" s="237"/>
      <c r="GU11" s="237"/>
      <c r="GV11" s="237"/>
      <c r="GW11" s="237"/>
      <c r="GX11" s="237"/>
      <c r="GY11" s="237"/>
      <c r="GZ11" s="237"/>
      <c r="HA11" s="237"/>
      <c r="HB11" s="237"/>
      <c r="HC11" s="237"/>
      <c r="HD11" s="237"/>
      <c r="HE11" s="237"/>
      <c r="HF11" s="237"/>
      <c r="HG11" s="237"/>
      <c r="HH11" s="237"/>
      <c r="HI11" s="237"/>
      <c r="HJ11" s="237"/>
      <c r="HK11" s="237"/>
      <c r="HL11" s="237"/>
      <c r="HM11" s="237"/>
      <c r="HN11" s="237"/>
      <c r="HO11" s="237"/>
      <c r="HP11" s="237"/>
      <c r="HQ11" s="237"/>
      <c r="HR11" s="237"/>
      <c r="HS11" s="237"/>
      <c r="HT11" s="237"/>
    </row>
    <row r="12" spans="1:702" ht="15" customHeight="1" x14ac:dyDescent="0.35">
      <c r="B12" s="122"/>
      <c r="D12" s="239" t="s">
        <v>230</v>
      </c>
      <c r="F12" s="79"/>
      <c r="G12" s="459" t="str">
        <f>IFERROR(INDEX(customerData[country],MATCH($B$6,customerData[cod_cliente],0)),"")</f>
        <v/>
      </c>
      <c r="H12" s="72"/>
      <c r="L12" s="280" t="str">
        <f t="array" ref="L12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M12" s="281" t="str">
        <f t="array" ref="M12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N12" s="282" t="str">
        <f t="array" ref="N12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O12" s="283" t="str">
        <f t="array" ref="O12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P12" s="284" t="str">
        <f t="array" ref="P12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Q12" s="285" t="str">
        <f t="array" ref="Q12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R12" s="286" t="str">
        <f t="array" ref="R12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S12" s="345" t="str">
        <f t="array" ref="S12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T12" s="287" t="str">
        <f t="array" ref="T12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U12" s="282" t="str">
        <f t="array" ref="U12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V12" s="287" t="str">
        <f t="array" ref="V12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W12" s="384" t="str">
        <f t="array" ref="W12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AO12" s="237"/>
      <c r="AR12" s="256"/>
      <c r="AS12" s="256"/>
      <c r="AT12" s="256"/>
      <c r="AX12" s="434"/>
      <c r="AZ12" s="244"/>
      <c r="BF12" s="429"/>
      <c r="BG12" s="429"/>
      <c r="BN12" s="425"/>
      <c r="BO12" s="263"/>
      <c r="BX12" s="237" t="s">
        <v>201</v>
      </c>
      <c r="BZ12" s="356"/>
      <c r="CA12" s="297" t="str">
        <f>IFERROR(IF(BZ12="","",INDEX(productData[description],MATCH(BZ12,productData[sku],0))),"")</f>
        <v/>
      </c>
      <c r="CB12" s="299"/>
      <c r="CC12" s="414"/>
      <c r="CD12" s="307"/>
      <c r="CE12" s="417"/>
      <c r="CF12" s="300"/>
      <c r="CG12" s="301" t="str">
        <f>IFERROR(ROUNDUP(CB12/INDEX(productData[units_per_carton],MATCH(BZ12,productData[sku],0)),0),"")</f>
        <v/>
      </c>
      <c r="CH12" s="302" t="str">
        <f>IFERROR(ROUNDUP(CD12/INDEX(productData[units_per_carton],MATCH(BZ12,productData[sku],0)),0),"")</f>
        <v/>
      </c>
      <c r="CI12" s="302" t="str">
        <f>IFERROR(ROUNDUP(CF12/INDEX(productData[units_per_carton],MATCH(BZ12,productData[sku])),0),"")</f>
        <v/>
      </c>
      <c r="CJ12" s="302" t="str">
        <f>IFERROR(((CB12+CD12+CF12)/INDEX(productData[units_per_carton],MATCH(BZ12,productData[sku],0)))*INDEX(productData[net_weight],MATCH(BZ12,productData[sku],0)),"")</f>
        <v/>
      </c>
      <c r="CK12" s="302" t="str">
        <f>IFERROR(((CB12+CD12+CF12)/INDEX(productData[units_per_carton],MATCH(BZ12,productData[sku],0)))*INDEX(productData[gross_weight],MATCH(BZ12,productData[sku],0)),"")</f>
        <v/>
      </c>
      <c r="CL12" s="406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03" t="str">
        <f>IFERROR(INDEX(productData[category],MATCH(BZ12,productData[sku],0)),"")</f>
        <v/>
      </c>
      <c r="CN12" s="303" t="str">
        <f>IFERROR(INDEX(productData[size1],MATCH(BZ12,productData[sku],0)),"")</f>
        <v/>
      </c>
      <c r="CO12" s="304" t="str">
        <f>IFERROR(INDEX(productData[hs_code],MATCH(BZ12,productData[sku],0)),"")</f>
        <v/>
      </c>
      <c r="CP12" s="357" t="str">
        <f>IFERROR(INDEX(productData[sku_geko],MATCH(BZ12,productData[sku],0)),"")</f>
        <v/>
      </c>
      <c r="CQ12" s="300"/>
      <c r="CR12" s="375" t="str">
        <f>IFERROR(IF(BZ12="","",IF($BX$15="SALE",INDEX(inventory[COSTO UNITARIO],MATCH(BZ12,inventory[SKU],0)),IF($BX$15="SAMPLING",INDEX(inventory[COSTO UNITARIO],MATCH(BZ12,inventory[SKU],0)),""))),"")</f>
        <v/>
      </c>
      <c r="CS12" s="375" t="str">
        <f t="shared" si="0"/>
        <v/>
      </c>
      <c r="CT12" s="422" t="str">
        <f t="shared" si="1"/>
        <v/>
      </c>
      <c r="CU12" s="349" t="str">
        <f t="shared" si="3"/>
        <v/>
      </c>
      <c r="CW12" s="75"/>
      <c r="CX12" s="77" t="s">
        <v>251</v>
      </c>
      <c r="CY12" s="460">
        <f>COUNTA($CD$8:$CD$110)</f>
        <v>0</v>
      </c>
      <c r="CZ12" s="72"/>
      <c r="DB12" s="190"/>
      <c r="DH12" s="190"/>
      <c r="EC12" s="237" t="s">
        <v>237</v>
      </c>
      <c r="EE12" s="334" t="str">
        <f t="array" ref="EE12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/>
      </c>
      <c r="EF12" s="494" t="str">
        <f t="array" ref="EF12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/>
      </c>
      <c r="EG12" s="335" t="str">
        <f>IFERROR(IF('BHPC MANAGER'!$EE12="","",INDEX(inventory[ESISTENZA],MATCH('BHPC MANAGER'!$EE12,inventory[SKU],0))),0)</f>
        <v/>
      </c>
      <c r="EH12" s="336" t="s">
        <v>241</v>
      </c>
      <c r="EI12" s="336" t="str">
        <f t="shared" si="4"/>
        <v/>
      </c>
      <c r="EJ12" s="337" t="s">
        <v>241</v>
      </c>
      <c r="EK12" s="338" t="str">
        <f t="shared" si="5"/>
        <v/>
      </c>
      <c r="FD12" s="363"/>
      <c r="FE12" s="190" t="s">
        <v>310</v>
      </c>
      <c r="FF12" s="369">
        <v>45505</v>
      </c>
      <c r="FG12" s="237"/>
      <c r="FH12" s="364"/>
      <c r="FI12" s="237"/>
      <c r="FJ12" s="363"/>
      <c r="FK12" s="190" t="s">
        <v>310</v>
      </c>
      <c r="FL12" s="369">
        <v>45505</v>
      </c>
      <c r="FM12" s="237"/>
      <c r="FN12" s="364"/>
      <c r="FO12" s="237"/>
      <c r="FP12" s="237"/>
      <c r="FQ12" s="237"/>
      <c r="FR12" s="237"/>
      <c r="FS12" s="237"/>
      <c r="FT12" s="237"/>
      <c r="FU12" s="237"/>
      <c r="FV12" s="237"/>
      <c r="FW12" s="237"/>
      <c r="FX12" s="237"/>
      <c r="FY12" s="237"/>
      <c r="FZ12" s="237"/>
      <c r="GA12" s="237"/>
      <c r="GB12" s="237"/>
      <c r="GC12" s="237"/>
      <c r="GD12" s="237"/>
      <c r="GE12" s="237"/>
      <c r="GF12" s="237"/>
      <c r="GG12" s="237"/>
      <c r="GH12" s="237"/>
      <c r="GI12" s="237"/>
      <c r="GJ12" s="237"/>
      <c r="GK12" s="237"/>
      <c r="GL12" s="237"/>
      <c r="GM12" s="237"/>
      <c r="GN12" s="237"/>
      <c r="GO12" s="237"/>
      <c r="GP12" s="237"/>
      <c r="GQ12" s="237"/>
      <c r="GR12" s="237"/>
      <c r="GS12" s="237"/>
      <c r="GT12" s="237"/>
      <c r="GU12" s="237"/>
      <c r="GV12" s="237"/>
      <c r="GW12" s="237"/>
      <c r="GX12" s="237"/>
      <c r="GY12" s="237"/>
      <c r="GZ12" s="237"/>
      <c r="HA12" s="237"/>
      <c r="HB12" s="237"/>
      <c r="HC12" s="237"/>
      <c r="HD12" s="237"/>
      <c r="HE12" s="237"/>
      <c r="HF12" s="237"/>
      <c r="HG12" s="237"/>
      <c r="HH12" s="237"/>
      <c r="HI12" s="237"/>
      <c r="HJ12" s="237"/>
      <c r="HK12" s="237"/>
      <c r="HL12" s="237"/>
      <c r="HM12" s="237"/>
      <c r="HN12" s="237"/>
      <c r="HO12" s="237"/>
      <c r="HP12" s="237"/>
      <c r="HQ12" s="237"/>
      <c r="HR12" s="237"/>
      <c r="HS12" s="237"/>
      <c r="HT12" s="237"/>
    </row>
    <row r="13" spans="1:702" ht="15" customHeight="1" x14ac:dyDescent="0.35">
      <c r="B13" s="122"/>
      <c r="D13" s="242" t="s">
        <v>538</v>
      </c>
      <c r="F13" s="79"/>
      <c r="G13" s="543" t="s">
        <v>205</v>
      </c>
      <c r="H13" s="72"/>
      <c r="L13" s="280" t="str">
        <f t="array" ref="L13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3" s="281" t="str">
        <f t="array" ref="M13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3" s="282" t="str">
        <f t="array" ref="N13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3" s="283" t="str">
        <f t="array" ref="O13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3" s="284" t="str">
        <f t="array" ref="P13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3" s="285" t="str">
        <f t="array" ref="Q13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3" s="286" t="str">
        <f t="array" ref="R13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3" s="345" t="str">
        <f t="array" ref="S13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3" s="287" t="str">
        <f t="array" ref="T13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3" s="282" t="str">
        <f t="array" ref="U13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3" s="287" t="str">
        <f t="array" ref="V13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3" s="384" t="str">
        <f t="array" ref="W13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O13" s="244"/>
      <c r="AQ13" s="270"/>
      <c r="AR13" s="430"/>
      <c r="AS13" s="427"/>
      <c r="AT13" s="430"/>
      <c r="AX13" s="432"/>
      <c r="AZ13" s="433"/>
      <c r="BF13" s="239"/>
      <c r="BG13" s="429"/>
      <c r="BH13" s="238"/>
      <c r="BN13" s="425"/>
      <c r="BO13" s="263"/>
      <c r="BX13" s="267" t="str">
        <f>IF(BX9="","",IFERROR(INDEX(orderData[invoice_no],MATCH($BX$11,orderData[order_no],0)),""))</f>
        <v/>
      </c>
      <c r="BZ13" s="356"/>
      <c r="CA13" s="297" t="str">
        <f>IFERROR(IF(BZ13="","",INDEX(productData[description],MATCH(BZ13,productData[sku],0))),"")</f>
        <v/>
      </c>
      <c r="CB13" s="299"/>
      <c r="CC13" s="526"/>
      <c r="CD13" s="307"/>
      <c r="CE13" s="417"/>
      <c r="CF13" s="300"/>
      <c r="CG13" s="301" t="str">
        <f>IFERROR(ROUNDUP(CB13/INDEX(productData[units_per_carton],MATCH(BZ13,productData[sku],0)),0),"")</f>
        <v/>
      </c>
      <c r="CH13" s="302" t="str">
        <f>IFERROR(ROUNDUP(CD13/INDEX(productData[units_per_carton],MATCH(BZ13,productData[sku],0)),0),"")</f>
        <v/>
      </c>
      <c r="CI13" s="302" t="str">
        <f>IFERROR(ROUNDUP(CF13/INDEX(productData[units_per_carton],MATCH(BZ13,productData[sku])),0),"")</f>
        <v/>
      </c>
      <c r="CJ13" s="302" t="str">
        <f>IFERROR(((CB13+CD13+CF13)/INDEX(productData[units_per_carton],MATCH(BZ13,productData[sku],0)))*INDEX(productData[net_weight],MATCH(BZ13,productData[sku],0)),"")</f>
        <v/>
      </c>
      <c r="CK13" s="302" t="str">
        <f>IFERROR(((CB13+CD13+CF13)/INDEX(productData[units_per_carton],MATCH(BZ13,productData[sku],0)))*INDEX(productData[gross_weight],MATCH(BZ13,productData[sku],0)),"")</f>
        <v/>
      </c>
      <c r="CL13" s="406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03" t="str">
        <f>IFERROR(INDEX(productData[category],MATCH(BZ13,productData[sku],0)),"")</f>
        <v/>
      </c>
      <c r="CN13" s="303" t="str">
        <f>IFERROR(INDEX(productData[size1],MATCH(BZ13,productData[sku],0)),"")</f>
        <v/>
      </c>
      <c r="CO13" s="304" t="str">
        <f>IFERROR(INDEX(productData[hs_code],MATCH(BZ13,productData[sku],0)),"")</f>
        <v/>
      </c>
      <c r="CP13" s="357" t="str">
        <f>IFERROR(INDEX(productData[sku_geko],MATCH(BZ13,productData[sku],0)),"")</f>
        <v/>
      </c>
      <c r="CQ13" s="300"/>
      <c r="CR13" s="375" t="str">
        <f>IFERROR(IF(BZ13="","",IF($BX$15="SALE",INDEX(inventory[COSTO UNITARIO],MATCH(BZ13,inventory[SKU],0)),IF($BX$15="SAMPLING",INDEX(inventory[COSTO UNITARIO],MATCH(BZ13,inventory[SKU],0)),""))),"")</f>
        <v/>
      </c>
      <c r="CS13" s="375" t="str">
        <f t="shared" si="0"/>
        <v/>
      </c>
      <c r="CT13" s="422" t="str">
        <f t="shared" si="1"/>
        <v/>
      </c>
      <c r="CU13" s="349" t="str">
        <f t="shared" si="3"/>
        <v/>
      </c>
      <c r="CW13" s="75"/>
      <c r="CX13" s="77" t="s">
        <v>252</v>
      </c>
      <c r="CY13" s="460">
        <f>COUNTA($CF$8:$CF$110)</f>
        <v>0</v>
      </c>
      <c r="CZ13" s="72"/>
      <c r="DB13" s="190"/>
      <c r="DH13" s="190"/>
      <c r="EC13" s="267"/>
      <c r="EE13" s="329" t="str">
        <f t="array" ref="EE13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/>
      </c>
      <c r="EF13" s="493" t="str">
        <f t="array" ref="EF13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/>
      </c>
      <c r="EG13" s="330" t="str">
        <f>IFERROR(IF('BHPC MANAGER'!$EE13="","",INDEX(inventory[ESISTENZA],MATCH('BHPC MANAGER'!$EE13,inventory[SKU],0))),0)</f>
        <v/>
      </c>
      <c r="EH13" s="331" t="s">
        <v>241</v>
      </c>
      <c r="EI13" s="331" t="str">
        <f t="shared" si="4"/>
        <v/>
      </c>
      <c r="EJ13" s="332" t="s">
        <v>241</v>
      </c>
      <c r="EK13" s="333" t="str">
        <f t="shared" si="5"/>
        <v/>
      </c>
      <c r="FD13" s="365"/>
      <c r="FE13" s="366"/>
      <c r="FF13" s="367"/>
      <c r="FG13" s="367"/>
      <c r="FH13" s="368"/>
      <c r="FI13" s="237"/>
      <c r="FJ13" s="365"/>
      <c r="FK13" s="366"/>
      <c r="FL13" s="367"/>
      <c r="FM13" s="367"/>
      <c r="FN13" s="368"/>
      <c r="FO13" s="237"/>
      <c r="FP13" s="237"/>
      <c r="FQ13" s="237"/>
      <c r="FR13" s="237"/>
      <c r="FS13" s="237"/>
      <c r="FT13" s="237"/>
      <c r="FU13" s="237"/>
      <c r="FV13" s="237"/>
      <c r="FW13" s="237"/>
      <c r="FX13" s="237"/>
      <c r="FY13" s="237"/>
      <c r="FZ13" s="237"/>
      <c r="GA13" s="237"/>
      <c r="GB13" s="237"/>
      <c r="GC13" s="237"/>
      <c r="GD13" s="237"/>
      <c r="GE13" s="237"/>
      <c r="GF13" s="237"/>
      <c r="GG13" s="237"/>
      <c r="GH13" s="237"/>
      <c r="GI13" s="237"/>
      <c r="GJ13" s="237"/>
      <c r="GK13" s="237"/>
      <c r="GL13" s="237"/>
      <c r="GM13" s="237"/>
      <c r="GN13" s="237"/>
      <c r="GO13" s="237"/>
      <c r="GP13" s="237"/>
      <c r="GQ13" s="237"/>
      <c r="GR13" s="237"/>
      <c r="GS13" s="237"/>
      <c r="GT13" s="237"/>
      <c r="GU13" s="237"/>
      <c r="GV13" s="237"/>
      <c r="GW13" s="237"/>
      <c r="GX13" s="237"/>
      <c r="GY13" s="237"/>
      <c r="GZ13" s="237"/>
      <c r="HA13" s="237"/>
      <c r="HB13" s="237"/>
      <c r="HC13" s="237"/>
      <c r="HD13" s="237"/>
      <c r="HE13" s="237"/>
      <c r="HF13" s="237"/>
      <c r="HG13" s="237"/>
      <c r="HH13" s="237"/>
      <c r="HI13" s="237"/>
      <c r="HJ13" s="237"/>
      <c r="HK13" s="237"/>
      <c r="HL13" s="237"/>
      <c r="HM13" s="237"/>
      <c r="HN13" s="237"/>
      <c r="HO13" s="237"/>
      <c r="HP13" s="237"/>
      <c r="HQ13" s="237"/>
      <c r="HR13" s="237"/>
      <c r="HS13" s="237"/>
      <c r="HT13" s="237"/>
    </row>
    <row r="14" spans="1:702" ht="15" customHeight="1" x14ac:dyDescent="0.35">
      <c r="B14" s="122"/>
      <c r="D14" s="239" t="s">
        <v>254</v>
      </c>
      <c r="F14" s="80"/>
      <c r="G14" s="459" t="str">
        <f>IFERROR(INDEX(customerData[payment_method],MATCH($B$6,customerData[cod_cliente],0)),"")</f>
        <v/>
      </c>
      <c r="H14" s="72"/>
      <c r="L14" s="280" t="str">
        <f t="array" ref="L14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4" s="281" t="str">
        <f t="array" ref="M14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4" s="282" t="str">
        <f t="array" ref="N14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4" s="283" t="str">
        <f t="array" ref="O14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4" s="284" t="str">
        <f t="array" ref="P14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4" s="285" t="str">
        <f t="array" ref="Q14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4" s="286" t="str">
        <f t="array" ref="R14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4" s="345" t="str">
        <f t="array" ref="S14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4" s="287" t="str">
        <f t="array" ref="T14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4" s="282" t="str">
        <f t="array" ref="U14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4" s="287" t="str">
        <f t="array" ref="V14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4" s="384" t="str">
        <f t="array" ref="W14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Q14" s="270"/>
      <c r="AR14" s="435"/>
      <c r="AS14" s="427"/>
      <c r="AT14" s="436"/>
      <c r="AW14" s="270"/>
      <c r="AX14" s="243"/>
      <c r="BF14" s="429"/>
      <c r="BG14" s="429"/>
      <c r="BH14" s="429"/>
      <c r="BN14" s="425"/>
      <c r="BO14" s="263"/>
      <c r="BX14" s="237" t="s">
        <v>235</v>
      </c>
      <c r="BZ14" s="356"/>
      <c r="CA14" s="297" t="str">
        <f>IFERROR(IF(BZ14="","",INDEX(productData[description],MATCH(BZ14,productData[sku],0))),"")</f>
        <v/>
      </c>
      <c r="CB14" s="299"/>
      <c r="CC14" s="532"/>
      <c r="CD14" s="307"/>
      <c r="CE14" s="418"/>
      <c r="CF14" s="300"/>
      <c r="CG14" s="301" t="str">
        <f>IFERROR(ROUNDUP(CB14/INDEX(productData[units_per_carton],MATCH(BZ14,productData[sku],0)),0),"")</f>
        <v/>
      </c>
      <c r="CH14" s="302" t="str">
        <f>IFERROR(ROUNDUP(CD14/INDEX(productData[units_per_carton],MATCH(BZ14,productData[sku],0)),0),"")</f>
        <v/>
      </c>
      <c r="CI14" s="302" t="str">
        <f>IFERROR(ROUNDUP(CF14/INDEX(productData[units_per_carton],MATCH(BZ14,productData[sku])),0),"")</f>
        <v/>
      </c>
      <c r="CJ14" s="302" t="str">
        <f>IFERROR(((CB14+CD14+CF14)/INDEX(productData[units_per_carton],MATCH(BZ14,productData[sku],0)))*INDEX(productData[net_weight],MATCH(BZ14,productData[sku],0)),"")</f>
        <v/>
      </c>
      <c r="CK14" s="302" t="str">
        <f>IFERROR(((CB14+CD14+CF14)/INDEX(productData[units_per_carton],MATCH(BZ14,productData[sku],0)))*INDEX(productData[gross_weight],MATCH(BZ14,productData[sku],0)),"")</f>
        <v/>
      </c>
      <c r="CL14" s="406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03" t="str">
        <f>IFERROR(INDEX(productData[category],MATCH(BZ14,productData[sku],0)),"")</f>
        <v/>
      </c>
      <c r="CN14" s="303" t="str">
        <f>IFERROR(INDEX(productData[size1],MATCH(BZ14,productData[sku],0)),"")</f>
        <v/>
      </c>
      <c r="CO14" s="304" t="str">
        <f>IFERROR(INDEX(productData[hs_code],MATCH(BZ14,productData[sku],0)),"")</f>
        <v/>
      </c>
      <c r="CP14" s="357" t="str">
        <f>IFERROR(INDEX(productData[sku_geko],MATCH(BZ14,productData[sku],0)),"")</f>
        <v/>
      </c>
      <c r="CQ14" s="300"/>
      <c r="CR14" s="375" t="str">
        <f>IFERROR(IF(BZ14="","",IF($BX$15="SALE",INDEX(inventory[COSTO UNITARIO],MATCH(BZ14,inventory[SKU],0)),IF($BX$15="SAMPLING",INDEX(inventory[COSTO UNITARIO],MATCH(BZ14,inventory[SKU],0)),""))),"")</f>
        <v/>
      </c>
      <c r="CS14" s="375" t="str">
        <f t="shared" si="0"/>
        <v/>
      </c>
      <c r="CT14" s="422" t="str">
        <f t="shared" si="1"/>
        <v/>
      </c>
      <c r="CU14" s="349" t="str">
        <f t="shared" si="3"/>
        <v/>
      </c>
      <c r="CW14" s="75"/>
      <c r="CX14" s="77" t="s">
        <v>202</v>
      </c>
      <c r="CY14" s="461">
        <f>SUM($CB$8:$CB$110,$CD$8:$CD$110,$CF$8:$CF$110)</f>
        <v>0</v>
      </c>
      <c r="CZ14" s="72"/>
      <c r="DB14" s="190"/>
      <c r="DH14" s="190"/>
      <c r="EC14" s="237"/>
      <c r="EE14" s="334" t="str">
        <f t="array" ref="EE14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/>
      </c>
      <c r="EF14" s="494" t="str">
        <f t="array" ref="EF14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/>
      </c>
      <c r="EG14" s="335" t="str">
        <f>IFERROR(IF('BHPC MANAGER'!$EE14="","",INDEX(inventory[ESISTENZA],MATCH('BHPC MANAGER'!$EE14,inventory[SKU],0))),0)</f>
        <v/>
      </c>
      <c r="EH14" s="336" t="s">
        <v>241</v>
      </c>
      <c r="EI14" s="336" t="str">
        <f t="shared" si="4"/>
        <v/>
      </c>
      <c r="EJ14" s="337" t="s">
        <v>241</v>
      </c>
      <c r="EK14" s="338" t="str">
        <f t="shared" si="5"/>
        <v/>
      </c>
      <c r="FD14" s="248" t="s">
        <v>317</v>
      </c>
      <c r="FF14" s="237"/>
      <c r="FG14" s="237"/>
      <c r="FH14" s="237"/>
      <c r="FI14" s="237"/>
      <c r="FJ14" s="248" t="s">
        <v>336</v>
      </c>
      <c r="FL14" s="237"/>
      <c r="FM14" s="237"/>
      <c r="FN14" s="237"/>
      <c r="FO14" s="237"/>
      <c r="FP14" s="237"/>
      <c r="FQ14" s="237"/>
      <c r="FR14" s="237"/>
      <c r="FS14" s="237"/>
      <c r="FT14" s="237"/>
      <c r="FU14" s="237"/>
      <c r="FV14" s="237"/>
      <c r="FW14" s="237"/>
      <c r="FX14" s="237"/>
      <c r="FY14" s="237"/>
      <c r="FZ14" s="237"/>
      <c r="GA14" s="237"/>
      <c r="GB14" s="237"/>
      <c r="GC14" s="237"/>
      <c r="GD14" s="237"/>
      <c r="GE14" s="237"/>
      <c r="GF14" s="237"/>
      <c r="GG14" s="237"/>
      <c r="GH14" s="237"/>
      <c r="GI14" s="237"/>
      <c r="GJ14" s="237"/>
      <c r="GK14" s="237"/>
      <c r="GL14" s="237"/>
      <c r="GM14" s="237"/>
      <c r="GN14" s="237"/>
      <c r="GO14" s="237"/>
      <c r="GP14" s="237"/>
      <c r="GQ14" s="237"/>
      <c r="GR14" s="237"/>
      <c r="GS14" s="237"/>
      <c r="GT14" s="237"/>
      <c r="GU14" s="237"/>
      <c r="GV14" s="237"/>
      <c r="GW14" s="237"/>
      <c r="GX14" s="237"/>
      <c r="GY14" s="237"/>
      <c r="GZ14" s="237"/>
      <c r="HA14" s="237"/>
      <c r="HB14" s="237"/>
      <c r="HC14" s="237"/>
      <c r="HD14" s="237"/>
      <c r="HE14" s="237"/>
      <c r="HF14" s="237"/>
      <c r="HG14" s="237"/>
      <c r="HH14" s="237"/>
      <c r="HI14" s="237"/>
      <c r="HJ14" s="237"/>
      <c r="HK14" s="237"/>
      <c r="HL14" s="237"/>
      <c r="HM14" s="237"/>
      <c r="HN14" s="237"/>
      <c r="HO14" s="237"/>
      <c r="HP14" s="237"/>
      <c r="HQ14" s="237"/>
      <c r="HR14" s="237"/>
      <c r="HS14" s="237"/>
      <c r="HT14" s="237"/>
    </row>
    <row r="15" spans="1:702" ht="15" customHeight="1" x14ac:dyDescent="0.35">
      <c r="A15" s="123" t="s">
        <v>217</v>
      </c>
      <c r="B15" s="124">
        <v>45488.760925925926</v>
      </c>
      <c r="D15" s="242"/>
      <c r="F15" s="80"/>
      <c r="G15" s="543" t="s">
        <v>319</v>
      </c>
      <c r="H15" s="72"/>
      <c r="L15" s="280" t="str">
        <f t="array" ref="L15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5" s="281" t="str">
        <f t="array" ref="M15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5" s="282" t="str">
        <f t="array" ref="N15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5" s="283" t="str">
        <f t="array" ref="O15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5" s="284" t="str">
        <f t="array" ref="P15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5" s="285" t="str">
        <f t="array" ref="Q15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5" s="286" t="str">
        <f t="array" ref="R15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5" s="345" t="str">
        <f t="array" ref="S15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5" s="287" t="str">
        <f t="array" ref="T15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5" s="282" t="str">
        <f t="array" ref="U15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5" s="287" t="str">
        <f t="array" ref="V15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5" s="384" t="str">
        <f t="array" ref="W15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Q15" s="270"/>
      <c r="AR15" s="256"/>
      <c r="AS15" s="256"/>
      <c r="AT15" s="256"/>
      <c r="AW15" s="270"/>
      <c r="AX15" s="432"/>
      <c r="BF15" s="239"/>
      <c r="BG15" s="429"/>
      <c r="BH15" s="429"/>
      <c r="BN15" s="425"/>
      <c r="BO15" s="263"/>
      <c r="BX15" s="267" t="e">
        <f>IF(BX9="","",INDEX(orderData[order_type],MATCH($BX$11,orderData[order_no],0)))</f>
        <v>#N/A</v>
      </c>
      <c r="BZ15" s="356"/>
      <c r="CA15" s="297" t="str">
        <f>IFERROR(IF(BZ15="","",INDEX(productData[description],MATCH(BZ15,productData[sku],0))),"")</f>
        <v/>
      </c>
      <c r="CB15" s="299"/>
      <c r="CC15" s="413"/>
      <c r="CD15" s="307"/>
      <c r="CE15" s="417"/>
      <c r="CF15" s="300"/>
      <c r="CG15" s="301" t="str">
        <f>IFERROR(ROUNDUP(CB15/INDEX(productData[units_per_carton],MATCH(BZ15,productData[sku],0)),0),"")</f>
        <v/>
      </c>
      <c r="CH15" s="302" t="str">
        <f>IFERROR(ROUNDUP(CD15/INDEX(productData[units_per_carton],MATCH(BZ15,productData[sku],0)),0),"")</f>
        <v/>
      </c>
      <c r="CI15" s="302" t="str">
        <f>IFERROR(ROUNDUP(CF15/INDEX(productData[units_per_carton],MATCH(BZ15,productData[sku])),0),"")</f>
        <v/>
      </c>
      <c r="CJ15" s="302" t="str">
        <f>IFERROR(((CB15+CD15+CF15)/INDEX(productData[units_per_carton],MATCH(BZ15,productData[sku],0)))*INDEX(productData[net_weight],MATCH(BZ15,productData[sku],0)),"")</f>
        <v/>
      </c>
      <c r="CK15" s="302" t="str">
        <f>IFERROR(((CB15+CD15+CF15)/INDEX(productData[units_per_carton],MATCH(BZ15,productData[sku],0)))*INDEX(productData[gross_weight],MATCH(BZ15,productData[sku],0)),"")</f>
        <v/>
      </c>
      <c r="CL15" s="406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03" t="str">
        <f>IFERROR(INDEX(productData[category],MATCH(BZ15,productData[sku],0)),"")</f>
        <v/>
      </c>
      <c r="CN15" s="303" t="str">
        <f>IFERROR(INDEX(productData[size1],MATCH(BZ15,productData[sku],0)),"")</f>
        <v/>
      </c>
      <c r="CO15" s="304" t="str">
        <f>IFERROR(INDEX(productData[hs_code],MATCH(BZ15,productData[sku],0)),"")</f>
        <v/>
      </c>
      <c r="CP15" s="357" t="str">
        <f>IFERROR(INDEX(productData[sku_geko],MATCH(BZ15,productData[sku],0)),"")</f>
        <v/>
      </c>
      <c r="CQ15" s="300"/>
      <c r="CR15" s="375" t="str">
        <f>IFERROR(IF(BZ15="","",IF($BX$15="SALE",INDEX(inventory[COSTO UNITARIO],MATCH(BZ15,inventory[SKU],0)),IF($BX$15="SAMPLING",INDEX(inventory[COSTO UNITARIO],MATCH(BZ15,inventory[SKU],0)),""))),"")</f>
        <v/>
      </c>
      <c r="CS15" s="375" t="str">
        <f t="shared" si="0"/>
        <v/>
      </c>
      <c r="CT15" s="422" t="str">
        <f t="shared" si="1"/>
        <v/>
      </c>
      <c r="CU15" s="349" t="str">
        <f t="shared" si="3"/>
        <v/>
      </c>
      <c r="CW15" s="75"/>
      <c r="CX15" s="77" t="s">
        <v>203</v>
      </c>
      <c r="CY15" s="461">
        <f>SUM($CD$8:$CD$110)</f>
        <v>0</v>
      </c>
      <c r="CZ15" s="72"/>
      <c r="DB15" s="190"/>
      <c r="DH15" s="190"/>
      <c r="EE15" s="329" t="str">
        <f t="array" ref="EE15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/>
      </c>
      <c r="EF15" s="493" t="str">
        <f t="array" ref="EF15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/>
      </c>
      <c r="EG15" s="330" t="str">
        <f>IFERROR(IF('BHPC MANAGER'!$EE15="","",INDEX(inventory[ESISTENZA],MATCH('BHPC MANAGER'!$EE15,inventory[SKU],0))),0)</f>
        <v/>
      </c>
      <c r="EH15" s="331" t="s">
        <v>241</v>
      </c>
      <c r="EI15" s="331" t="str">
        <f t="shared" si="4"/>
        <v/>
      </c>
      <c r="EJ15" s="332" t="s">
        <v>241</v>
      </c>
      <c r="EK15" s="333" t="str">
        <f t="shared" si="5"/>
        <v/>
      </c>
      <c r="FD15" s="359"/>
      <c r="FE15" s="360"/>
      <c r="FF15" s="361"/>
      <c r="FG15" s="361"/>
      <c r="FH15" s="362"/>
      <c r="FI15" s="237"/>
      <c r="FJ15" s="359"/>
      <c r="FK15" s="360"/>
      <c r="FL15" s="361"/>
      <c r="FM15" s="361"/>
      <c r="FN15" s="362"/>
      <c r="FO15" s="237"/>
      <c r="FP15" s="237"/>
      <c r="FQ15" s="237"/>
      <c r="FR15" s="237"/>
      <c r="FS15" s="237"/>
      <c r="FT15" s="237"/>
      <c r="FU15" s="237"/>
      <c r="FV15" s="237"/>
      <c r="FW15" s="237"/>
      <c r="FX15" s="237"/>
      <c r="FY15" s="237"/>
      <c r="FZ15" s="237"/>
      <c r="GA15" s="237"/>
      <c r="GB15" s="237"/>
      <c r="GC15" s="237"/>
      <c r="GD15" s="237"/>
      <c r="GE15" s="237"/>
      <c r="GF15" s="237"/>
      <c r="GG15" s="237"/>
      <c r="GH15" s="237"/>
      <c r="GI15" s="237"/>
      <c r="GJ15" s="237"/>
      <c r="GK15" s="237"/>
      <c r="GL15" s="237"/>
      <c r="GM15" s="237"/>
      <c r="GN15" s="237"/>
      <c r="GO15" s="237"/>
      <c r="GP15" s="237"/>
      <c r="GQ15" s="237"/>
      <c r="GR15" s="237"/>
      <c r="GS15" s="237"/>
      <c r="GT15" s="237"/>
      <c r="GU15" s="237"/>
      <c r="GV15" s="237"/>
      <c r="GW15" s="237"/>
      <c r="GX15" s="237"/>
      <c r="GY15" s="237"/>
      <c r="GZ15" s="237"/>
      <c r="HA15" s="237"/>
      <c r="HB15" s="237"/>
      <c r="HC15" s="237"/>
      <c r="HD15" s="237"/>
      <c r="HE15" s="237"/>
      <c r="HF15" s="237"/>
      <c r="HG15" s="237"/>
      <c r="HH15" s="237"/>
      <c r="HI15" s="237"/>
      <c r="HJ15" s="237"/>
      <c r="HK15" s="237"/>
      <c r="HL15" s="237"/>
      <c r="HM15" s="237"/>
      <c r="HN15" s="237"/>
      <c r="HO15" s="237"/>
      <c r="HP15" s="237"/>
      <c r="HQ15" s="237"/>
      <c r="HR15" s="237"/>
      <c r="HS15" s="237"/>
      <c r="HT15" s="237"/>
    </row>
    <row r="16" spans="1:702" ht="15" customHeight="1" x14ac:dyDescent="0.35">
      <c r="A16" s="123" t="s">
        <v>216</v>
      </c>
      <c r="B16" s="124">
        <v>45488.760925925926</v>
      </c>
      <c r="F16" s="81"/>
      <c r="G16" s="373" t="str">
        <f>IFERROR(INDEX(orderData[currency],MATCH($B$4,orderData[order_no],0)),"")</f>
        <v/>
      </c>
      <c r="H16" s="72"/>
      <c r="L16" s="280" t="str">
        <f t="array" ref="L16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6" s="281" t="str">
        <f t="array" ref="M16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6" s="282" t="str">
        <f t="array" ref="N16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6" s="283" t="str">
        <f t="array" ref="O16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6" s="284" t="str">
        <f t="array" ref="P16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6" s="285" t="str">
        <f t="array" ref="Q16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6" s="286" t="str">
        <f t="array" ref="R16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6" s="345" t="str">
        <f t="array" ref="S16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6" s="287" t="str">
        <f t="array" ref="T16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6" s="282" t="str">
        <f t="array" ref="U16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6" s="287" t="str">
        <f t="array" ref="V16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6" s="384" t="str">
        <f t="array" ref="W16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6" s="243"/>
      <c r="AQ16" s="240"/>
      <c r="AR16" s="256"/>
      <c r="AS16" s="256"/>
      <c r="AT16" s="256"/>
      <c r="AW16" s="270"/>
      <c r="AX16" s="243"/>
      <c r="AZ16" s="244"/>
      <c r="BN16" s="425"/>
      <c r="BO16" s="263"/>
      <c r="BZ16" s="356"/>
      <c r="CA16" s="297" t="str">
        <f>IFERROR(IF(BZ16="","",INDEX(productData[description],MATCH(BZ16,productData[sku],0))),"")</f>
        <v/>
      </c>
      <c r="CB16" s="299"/>
      <c r="CC16" s="413"/>
      <c r="CD16" s="307"/>
      <c r="CE16" s="417"/>
      <c r="CF16" s="300"/>
      <c r="CG16" s="301" t="str">
        <f>IFERROR(ROUNDUP(CB16/INDEX(productData[units_per_carton],MATCH(BZ16,productData[sku],0)),0),"")</f>
        <v/>
      </c>
      <c r="CH16" s="302" t="str">
        <f>IFERROR(ROUNDUP(CD16/INDEX(productData[units_per_carton],MATCH(BZ16,productData[sku],0)),0),"")</f>
        <v/>
      </c>
      <c r="CI16" s="302" t="str">
        <f>IFERROR(ROUNDUP(CF16/INDEX(productData[units_per_carton],MATCH(BZ16,productData[sku])),0),"")</f>
        <v/>
      </c>
      <c r="CJ16" s="302" t="str">
        <f>IFERROR(((CB16+CD16+CF16)/INDEX(productData[units_per_carton],MATCH(BZ16,productData[sku],0)))*INDEX(productData[net_weight],MATCH(BZ16,productData[sku],0)),"")</f>
        <v/>
      </c>
      <c r="CK16" s="302" t="str">
        <f>IFERROR(((CB16+CD16+CF16)/INDEX(productData[units_per_carton],MATCH(BZ16,productData[sku],0)))*INDEX(productData[gross_weight],MATCH(BZ16,productData[sku],0)),"")</f>
        <v/>
      </c>
      <c r="CL16" s="406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03" t="str">
        <f>IFERROR(INDEX(productData[category],MATCH(BZ16,productData[sku],0)),"")</f>
        <v/>
      </c>
      <c r="CN16" s="303" t="str">
        <f>IFERROR(INDEX(productData[size1],MATCH(BZ16,productData[sku],0)),"")</f>
        <v/>
      </c>
      <c r="CO16" s="304" t="str">
        <f>IFERROR(INDEX(productData[hs_code],MATCH(BZ16,productData[sku],0)),"")</f>
        <v/>
      </c>
      <c r="CP16" s="357" t="str">
        <f>IFERROR(INDEX(productData[sku_geko],MATCH(BZ16,productData[sku],0)),"")</f>
        <v/>
      </c>
      <c r="CQ16" s="300"/>
      <c r="CR16" s="375" t="str">
        <f>IFERROR(IF(BZ16="","",IF($BX$15="SALE",INDEX(inventory[COSTO UNITARIO],MATCH(BZ16,inventory[SKU],0)),IF($BX$15="SAMPLING",INDEX(inventory[COSTO UNITARIO],MATCH(BZ16,inventory[SKU],0)),""))),"")</f>
        <v/>
      </c>
      <c r="CS16" s="375" t="str">
        <f t="shared" si="0"/>
        <v/>
      </c>
      <c r="CT16" s="422" t="str">
        <f t="shared" si="1"/>
        <v/>
      </c>
      <c r="CU16" s="349" t="str">
        <f t="shared" si="3"/>
        <v/>
      </c>
      <c r="CW16" s="75"/>
      <c r="CX16" s="77" t="s">
        <v>204</v>
      </c>
      <c r="CY16" s="461">
        <f>SUM(CF8:CF110)</f>
        <v>0</v>
      </c>
      <c r="CZ16" s="72"/>
      <c r="DB16" s="190"/>
      <c r="DH16" s="190"/>
      <c r="EE16" s="334" t="str">
        <f t="array" ref="EE16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/>
      </c>
      <c r="EF16" s="494" t="str">
        <f t="array" ref="EF16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/>
      </c>
      <c r="EG16" s="335" t="str">
        <f>IFERROR(IF('BHPC MANAGER'!$EE16="","",INDEX(inventory[ESISTENZA],MATCH('BHPC MANAGER'!$EE16,inventory[SKU],0))),0)</f>
        <v/>
      </c>
      <c r="EH16" s="336" t="s">
        <v>241</v>
      </c>
      <c r="EI16" s="336" t="str">
        <f t="shared" si="4"/>
        <v/>
      </c>
      <c r="EJ16" s="337" t="s">
        <v>241</v>
      </c>
      <c r="EK16" s="338" t="str">
        <f t="shared" si="5"/>
        <v/>
      </c>
      <c r="FD16" s="363"/>
      <c r="FE16" s="190" t="s">
        <v>309</v>
      </c>
      <c r="FF16" s="369">
        <v>45292</v>
      </c>
      <c r="FG16" s="237"/>
      <c r="FH16" s="364"/>
      <c r="FI16" s="237"/>
      <c r="FJ16" s="363"/>
      <c r="FK16" s="190" t="s">
        <v>337</v>
      </c>
      <c r="FL16" s="369"/>
      <c r="FM16" s="237"/>
      <c r="FN16" s="364"/>
      <c r="FO16" s="237"/>
      <c r="FP16" s="237"/>
      <c r="FQ16" s="237"/>
      <c r="FR16" s="237"/>
      <c r="FS16" s="237"/>
      <c r="FT16" s="237"/>
      <c r="FU16" s="237"/>
      <c r="FV16" s="237"/>
      <c r="FW16" s="237"/>
      <c r="FX16" s="237"/>
      <c r="FY16" s="237"/>
      <c r="FZ16" s="237"/>
      <c r="GA16" s="237"/>
      <c r="GB16" s="237"/>
      <c r="GC16" s="237"/>
      <c r="GD16" s="237"/>
      <c r="GE16" s="237"/>
      <c r="GF16" s="237"/>
      <c r="GG16" s="237"/>
      <c r="GH16" s="237"/>
      <c r="GI16" s="237"/>
      <c r="GJ16" s="237"/>
      <c r="GK16" s="237"/>
      <c r="GL16" s="237"/>
      <c r="GM16" s="237"/>
      <c r="GN16" s="237"/>
      <c r="GO16" s="237"/>
      <c r="GP16" s="237"/>
      <c r="GQ16" s="237"/>
      <c r="GR16" s="237"/>
      <c r="GS16" s="237"/>
      <c r="GT16" s="237"/>
      <c r="GU16" s="237"/>
      <c r="GV16" s="237"/>
      <c r="GW16" s="237"/>
      <c r="GX16" s="237"/>
      <c r="GY16" s="237"/>
      <c r="GZ16" s="237"/>
      <c r="HA16" s="237"/>
      <c r="HB16" s="237"/>
      <c r="HC16" s="237"/>
      <c r="HD16" s="237"/>
      <c r="HE16" s="237"/>
      <c r="HF16" s="237"/>
      <c r="HG16" s="237"/>
      <c r="HH16" s="237"/>
      <c r="HI16" s="237"/>
      <c r="HJ16" s="237"/>
      <c r="HK16" s="237"/>
      <c r="HL16" s="237"/>
      <c r="HM16" s="237"/>
      <c r="HN16" s="237"/>
      <c r="HO16" s="237"/>
      <c r="HP16" s="237"/>
      <c r="HQ16" s="237"/>
      <c r="HR16" s="237"/>
      <c r="HS16" s="237"/>
      <c r="HT16" s="237"/>
    </row>
    <row r="17" spans="1:228" ht="15" customHeight="1" thickBot="1" x14ac:dyDescent="0.4">
      <c r="A17" s="123" t="s">
        <v>218</v>
      </c>
      <c r="B17" s="124">
        <v>45349.332673611112</v>
      </c>
      <c r="F17" s="82"/>
      <c r="G17" s="73"/>
      <c r="H17" s="74"/>
      <c r="L17" s="280" t="str">
        <f t="array" ref="L17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7" s="281" t="str">
        <f t="array" ref="M17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7" s="282" t="str">
        <f t="array" ref="N17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7" s="283" t="str">
        <f t="array" ref="O17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7" s="284" t="str">
        <f t="array" ref="P17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7" s="285" t="str">
        <f t="array" ref="Q17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7" s="286" t="str">
        <f t="array" ref="R17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7" s="345" t="str">
        <f t="array" ref="S17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7" s="287" t="str">
        <f t="array" ref="T17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7" s="282" t="str">
        <f t="array" ref="U17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7" s="287" t="str">
        <f t="array" ref="V17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7" s="384" t="str">
        <f t="array" ref="W17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7" s="243"/>
      <c r="AQ17" s="270"/>
      <c r="AR17" s="256"/>
      <c r="AS17" s="256"/>
      <c r="AT17" s="256"/>
      <c r="AW17" s="270"/>
      <c r="AX17" s="432"/>
      <c r="AZ17" s="437"/>
      <c r="BN17" s="425"/>
      <c r="BO17" s="263"/>
      <c r="BZ17" s="356"/>
      <c r="CA17" s="297" t="str">
        <f>IFERROR(IF(BZ17="","",INDEX(productData[description],MATCH(BZ17,productData[sku],0))),"")</f>
        <v/>
      </c>
      <c r="CB17" s="299"/>
      <c r="CC17" s="412"/>
      <c r="CD17" s="306"/>
      <c r="CE17" s="417"/>
      <c r="CF17" s="300"/>
      <c r="CG17" s="301" t="str">
        <f>IFERROR(ROUNDUP(CB17/INDEX(productData[units_per_carton],MATCH(BZ17,productData[sku],0)),0),"")</f>
        <v/>
      </c>
      <c r="CH17" s="302" t="str">
        <f>IFERROR(ROUNDUP(CD17/INDEX(productData[units_per_carton],MATCH(BZ17,productData[sku],0)),0),"")</f>
        <v/>
      </c>
      <c r="CI17" s="302" t="str">
        <f>IFERROR(ROUNDUP(CF17/INDEX(productData[units_per_carton],MATCH(BZ17,productData[sku])),0),"")</f>
        <v/>
      </c>
      <c r="CJ17" s="302" t="str">
        <f>IFERROR(((CB17+CD17+CF17)/INDEX(productData[units_per_carton],MATCH(BZ17,productData[sku],0)))*INDEX(productData[net_weight],MATCH(BZ17,productData[sku],0)),"")</f>
        <v/>
      </c>
      <c r="CK17" s="302" t="str">
        <f>IFERROR(((CB17+CD17+CF17)/INDEX(productData[units_per_carton],MATCH(BZ17,productData[sku],0)))*INDEX(productData[gross_weight],MATCH(BZ17,productData[sku],0)),"")</f>
        <v/>
      </c>
      <c r="CL17" s="406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03" t="str">
        <f>IFERROR(INDEX(productData[category],MATCH(BZ17,productData[sku],0)),"")</f>
        <v/>
      </c>
      <c r="CN17" s="303" t="str">
        <f>IFERROR(INDEX(productData[size1],MATCH(BZ17,productData[sku],0)),"")</f>
        <v/>
      </c>
      <c r="CO17" s="304" t="str">
        <f>IFERROR(INDEX(productData[hs_code],MATCH(BZ17,productData[sku],0)),"")</f>
        <v/>
      </c>
      <c r="CP17" s="357" t="str">
        <f>IFERROR(INDEX(productData[sku_geko],MATCH(BZ17,productData[sku],0)),"")</f>
        <v/>
      </c>
      <c r="CQ17" s="300"/>
      <c r="CR17" s="375" t="str">
        <f>IFERROR(IF(BZ17="","",IF($BX$15="SALE",INDEX(inventory[COSTO UNITARIO],MATCH(BZ17,inventory[SKU],0)),IF($BX$15="SAMPLING",INDEX(inventory[COSTO UNITARIO],MATCH(BZ17,inventory[SKU],0)),""))),"")</f>
        <v/>
      </c>
      <c r="CS17" s="375" t="str">
        <f t="shared" si="0"/>
        <v/>
      </c>
      <c r="CT17" s="422" t="str">
        <f t="shared" si="1"/>
        <v/>
      </c>
      <c r="CU17" s="349" t="str">
        <f t="shared" si="3"/>
        <v/>
      </c>
      <c r="CW17" s="75"/>
      <c r="CX17" s="215" t="s">
        <v>304</v>
      </c>
      <c r="CY17" s="462">
        <f>SUM(CT8:CT110)</f>
        <v>0</v>
      </c>
      <c r="CZ17" s="72"/>
      <c r="DB17" s="190"/>
      <c r="DH17" s="190"/>
      <c r="EE17" s="329" t="str">
        <f t="array" ref="EE17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/>
      </c>
      <c r="EF17" s="493" t="str">
        <f t="array" ref="EF17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/>
      </c>
      <c r="EG17" s="330" t="str">
        <f>IFERROR(IF('BHPC MANAGER'!$EE17="","",INDEX(inventory[ESISTENZA],MATCH('BHPC MANAGER'!$EE17,inventory[SKU],0))),0)</f>
        <v/>
      </c>
      <c r="EH17" s="331" t="s">
        <v>241</v>
      </c>
      <c r="EI17" s="331" t="str">
        <f t="shared" si="4"/>
        <v/>
      </c>
      <c r="EJ17" s="332" t="s">
        <v>241</v>
      </c>
      <c r="EK17" s="333" t="str">
        <f t="shared" si="5"/>
        <v/>
      </c>
      <c r="FD17" s="363"/>
      <c r="FF17" s="237"/>
      <c r="FG17" s="237"/>
      <c r="FH17" s="364"/>
      <c r="FI17" s="237"/>
      <c r="FJ17" s="363"/>
      <c r="FL17" s="237"/>
      <c r="FM17" s="237"/>
      <c r="FN17" s="364"/>
      <c r="FO17" s="237"/>
      <c r="FP17" s="237"/>
      <c r="FQ17" s="237"/>
      <c r="FR17" s="237"/>
      <c r="FS17" s="237"/>
      <c r="FT17" s="237"/>
      <c r="FU17" s="237"/>
      <c r="FV17" s="237"/>
      <c r="FW17" s="237"/>
      <c r="FX17" s="237"/>
      <c r="FY17" s="237"/>
      <c r="FZ17" s="237"/>
      <c r="GA17" s="237"/>
      <c r="GB17" s="237"/>
      <c r="GC17" s="237"/>
      <c r="GD17" s="237"/>
      <c r="GE17" s="237"/>
      <c r="GF17" s="237"/>
      <c r="GG17" s="237"/>
      <c r="GH17" s="237"/>
      <c r="GI17" s="237"/>
      <c r="GJ17" s="237"/>
      <c r="GK17" s="237"/>
      <c r="GL17" s="237"/>
      <c r="GM17" s="237"/>
      <c r="GN17" s="237"/>
      <c r="GO17" s="237"/>
      <c r="GP17" s="237"/>
      <c r="GQ17" s="237"/>
      <c r="GR17" s="237"/>
      <c r="GS17" s="237"/>
      <c r="GT17" s="237"/>
      <c r="GU17" s="237"/>
      <c r="GV17" s="237"/>
      <c r="GW17" s="237"/>
      <c r="GX17" s="237"/>
      <c r="GY17" s="237"/>
      <c r="GZ17" s="237"/>
      <c r="HA17" s="237"/>
      <c r="HB17" s="237"/>
      <c r="HC17" s="237"/>
      <c r="HD17" s="237"/>
      <c r="HE17" s="237"/>
      <c r="HF17" s="237"/>
      <c r="HG17" s="237"/>
      <c r="HH17" s="237"/>
      <c r="HI17" s="237"/>
      <c r="HJ17" s="237"/>
      <c r="HK17" s="237"/>
      <c r="HL17" s="237"/>
      <c r="HM17" s="237"/>
      <c r="HN17" s="237"/>
      <c r="HO17" s="237"/>
      <c r="HP17" s="237"/>
      <c r="HQ17" s="237"/>
      <c r="HR17" s="237"/>
      <c r="HS17" s="237"/>
      <c r="HT17" s="237"/>
    </row>
    <row r="18" spans="1:228" ht="15" customHeight="1" thickBot="1" x14ac:dyDescent="0.4">
      <c r="A18" s="123" t="s">
        <v>219</v>
      </c>
      <c r="B18" s="124"/>
      <c r="F18" s="477" t="s">
        <v>380</v>
      </c>
      <c r="G18" s="476"/>
      <c r="H18" s="269"/>
      <c r="L18" s="280" t="str">
        <f t="array" ref="L18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18" s="281" t="str">
        <f t="array" ref="M18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18" s="282" t="str">
        <f t="array" ref="N18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18" s="283" t="str">
        <f t="array" ref="O18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18" s="284" t="str">
        <f t="array" ref="P18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18" s="285" t="str">
        <f t="array" ref="Q18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18" s="286" t="str">
        <f t="array" ref="R18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18" s="345" t="str">
        <f t="array" ref="S18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18" s="287" t="str">
        <f t="array" ref="T18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18" s="282" t="str">
        <f t="array" ref="U18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18" s="287" t="str">
        <f t="array" ref="V18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18" s="384" t="str">
        <f t="array" ref="W18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18" s="243"/>
      <c r="AQ18" s="270"/>
      <c r="AR18" s="438"/>
      <c r="AS18" s="439"/>
      <c r="AT18" s="440"/>
      <c r="AW18" s="270"/>
      <c r="AX18" s="441"/>
      <c r="AZ18" s="244"/>
      <c r="BB18" s="244"/>
      <c r="BD18" s="243"/>
      <c r="BN18" s="425"/>
      <c r="BO18" s="263"/>
      <c r="BX18" s="729"/>
      <c r="BZ18" s="356"/>
      <c r="CA18" s="297" t="str">
        <f>IFERROR(IF(BZ18="","",INDEX(productData[description],MATCH(BZ18,productData[sku],0))),"")</f>
        <v/>
      </c>
      <c r="CB18" s="299"/>
      <c r="CC18" s="532"/>
      <c r="CD18" s="307"/>
      <c r="CE18" s="417"/>
      <c r="CF18" s="300"/>
      <c r="CG18" s="301" t="str">
        <f>IFERROR(ROUNDUP(CB18/INDEX(productData[units_per_carton],MATCH(BZ18,productData[sku],0)),0),"")</f>
        <v/>
      </c>
      <c r="CH18" s="302" t="str">
        <f>IFERROR(ROUNDUP(CD18/INDEX(productData[units_per_carton],MATCH(BZ18,productData[sku],0)),0),"")</f>
        <v/>
      </c>
      <c r="CI18" s="302" t="str">
        <f>IFERROR(ROUNDUP(CF18/INDEX(productData[units_per_carton],MATCH(BZ18,productData[sku])),0),"")</f>
        <v/>
      </c>
      <c r="CJ18" s="302" t="str">
        <f>IFERROR(((CB18+CD18+CF18)/INDEX(productData[units_per_carton],MATCH(BZ18,productData[sku],0)))*INDEX(productData[net_weight],MATCH(BZ18,productData[sku],0)),"")</f>
        <v/>
      </c>
      <c r="CK18" s="302" t="str">
        <f>IFERROR(((CB18+CD18+CF18)/INDEX(productData[units_per_carton],MATCH(BZ18,productData[sku],0)))*INDEX(productData[gross_weight],MATCH(BZ18,productData[sku],0)),"")</f>
        <v/>
      </c>
      <c r="CL18" s="406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03" t="str">
        <f>IFERROR(INDEX(productData[category],MATCH(BZ18,productData[sku],0)),"")</f>
        <v/>
      </c>
      <c r="CN18" s="303" t="str">
        <f>IFERROR(INDEX(productData[size1],MATCH(BZ18,productData[sku],0)),"")</f>
        <v/>
      </c>
      <c r="CO18" s="304" t="str">
        <f>IFERROR(INDEX(productData[hs_code],MATCH(BZ18,productData[sku],0)),"")</f>
        <v/>
      </c>
      <c r="CP18" s="357" t="str">
        <f>IFERROR(INDEX(productData[sku_geko],MATCH(BZ18,productData[sku],0)),"")</f>
        <v/>
      </c>
      <c r="CQ18" s="300"/>
      <c r="CR18" s="374" t="str">
        <f>IFERROR(IF(BZ18="","",IF($BX$15="SALE",INDEX(inventory[COSTO UNITARIO],MATCH(BZ18,inventory[SKU],0)),IF($BX$15="SAMPLING",INDEX(inventory[COSTO UNITARIO],MATCH(BZ18,inventory[SKU],0)),""))),"")</f>
        <v/>
      </c>
      <c r="CS18" s="374" t="str">
        <f t="shared" si="0"/>
        <v/>
      </c>
      <c r="CT18" s="422" t="str">
        <f t="shared" si="1"/>
        <v/>
      </c>
      <c r="CU18" s="349" t="str">
        <f t="shared" si="3"/>
        <v/>
      </c>
      <c r="CW18" s="75"/>
      <c r="CX18" s="215" t="s">
        <v>305</v>
      </c>
      <c r="CY18" s="463">
        <f>SUM(CS8:CS110)</f>
        <v>0</v>
      </c>
      <c r="CZ18" s="72"/>
      <c r="DB18" s="190"/>
      <c r="DH18" s="190"/>
      <c r="EE18" s="334" t="str">
        <f t="array" ref="EE18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/>
      </c>
      <c r="EF18" s="494" t="str">
        <f t="array" ref="EF18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/>
      </c>
      <c r="EG18" s="335" t="str">
        <f>IFERROR(IF('BHPC MANAGER'!$EE18="","",INDEX(inventory[ESISTENZA],MATCH('BHPC MANAGER'!$EE18,inventory[SKU],0))),0)</f>
        <v/>
      </c>
      <c r="EH18" s="336" t="s">
        <v>241</v>
      </c>
      <c r="EI18" s="336" t="str">
        <f t="shared" si="4"/>
        <v/>
      </c>
      <c r="EJ18" s="337" t="s">
        <v>241</v>
      </c>
      <c r="EK18" s="338" t="str">
        <f t="shared" si="5"/>
        <v/>
      </c>
      <c r="FD18" s="363"/>
      <c r="FE18" s="190" t="s">
        <v>310</v>
      </c>
      <c r="FF18" s="369">
        <v>45505</v>
      </c>
      <c r="FG18" s="237"/>
      <c r="FH18" s="364"/>
      <c r="FI18" s="237"/>
      <c r="FJ18" s="363"/>
      <c r="FK18" s="190" t="s">
        <v>535</v>
      </c>
      <c r="FL18" s="387"/>
      <c r="FM18" s="237"/>
      <c r="FN18" s="364"/>
      <c r="FO18" s="237"/>
      <c r="FP18" s="237"/>
      <c r="FQ18" s="237"/>
      <c r="FR18" s="237"/>
      <c r="FS18" s="237"/>
      <c r="FT18" s="237"/>
      <c r="FU18" s="237"/>
      <c r="FV18" s="237"/>
      <c r="FW18" s="237"/>
      <c r="FX18" s="237"/>
      <c r="FY18" s="237"/>
      <c r="FZ18" s="237"/>
      <c r="GA18" s="237"/>
      <c r="GB18" s="237"/>
      <c r="GC18" s="237"/>
      <c r="GD18" s="237"/>
      <c r="GE18" s="237"/>
      <c r="GF18" s="237"/>
      <c r="GG18" s="237"/>
      <c r="GH18" s="237"/>
      <c r="GI18" s="237"/>
      <c r="GJ18" s="237"/>
      <c r="GK18" s="237"/>
      <c r="GL18" s="237"/>
      <c r="GM18" s="237"/>
      <c r="GN18" s="237"/>
      <c r="GO18" s="237"/>
      <c r="GP18" s="237"/>
      <c r="GQ18" s="237"/>
      <c r="GR18" s="237"/>
      <c r="GS18" s="237"/>
      <c r="GT18" s="237"/>
      <c r="GU18" s="237"/>
      <c r="GV18" s="237"/>
      <c r="GW18" s="237"/>
      <c r="GX18" s="237"/>
      <c r="GY18" s="237"/>
      <c r="GZ18" s="237"/>
      <c r="HA18" s="237"/>
      <c r="HB18" s="237"/>
      <c r="HC18" s="237"/>
      <c r="HD18" s="237"/>
      <c r="HE18" s="237"/>
      <c r="HF18" s="237"/>
      <c r="HG18" s="237"/>
      <c r="HH18" s="237"/>
      <c r="HI18" s="237"/>
      <c r="HJ18" s="237"/>
      <c r="HK18" s="237"/>
      <c r="HL18" s="237"/>
      <c r="HM18" s="237"/>
      <c r="HN18" s="237"/>
      <c r="HO18" s="237"/>
      <c r="HP18" s="237"/>
      <c r="HQ18" s="237"/>
      <c r="HR18" s="237"/>
      <c r="HS18" s="237"/>
      <c r="HT18" s="237"/>
    </row>
    <row r="19" spans="1:228" ht="15" customHeight="1" thickBot="1" x14ac:dyDescent="0.4">
      <c r="D19" s="379"/>
      <c r="F19" s="78"/>
      <c r="G19" s="543" t="s">
        <v>539</v>
      </c>
      <c r="H19" s="70"/>
      <c r="L19" s="280" t="str">
        <f t="array" ref="L19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19" s="281" t="str">
        <f t="array" ref="M19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19" s="282" t="str">
        <f t="array" ref="N19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19" s="283" t="str">
        <f t="array" ref="O19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19" s="284" t="str">
        <f t="array" ref="P19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19" s="285" t="str">
        <f t="array" ref="Q19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19" s="286" t="str">
        <f t="array" ref="R19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19" s="345" t="str">
        <f t="array" ref="S19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19" s="287" t="str">
        <f t="array" ref="T19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19" s="282" t="str">
        <f t="array" ref="U19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19" s="287" t="str">
        <f t="array" ref="V19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19" s="384" t="str">
        <f t="array" ref="W19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19" s="243"/>
      <c r="AQ19" s="270"/>
      <c r="AR19" s="438"/>
      <c r="AW19" s="270"/>
      <c r="AX19" s="432"/>
      <c r="AZ19" s="442"/>
      <c r="BB19" s="433"/>
      <c r="BD19" s="728"/>
      <c r="BE19" s="728"/>
      <c r="BF19" s="728"/>
      <c r="BG19" s="728"/>
      <c r="BH19" s="728"/>
      <c r="BN19" s="425"/>
      <c r="BO19" s="263"/>
      <c r="BX19" s="730"/>
      <c r="BZ19" s="356"/>
      <c r="CA19" s="297" t="str">
        <f>IFERROR(IF(BZ19="","",INDEX(productData[description],MATCH(BZ19,productData[sku],0))),"")</f>
        <v/>
      </c>
      <c r="CB19" s="299"/>
      <c r="CC19" s="414"/>
      <c r="CD19" s="305"/>
      <c r="CE19" s="417"/>
      <c r="CF19" s="300"/>
      <c r="CG19" s="301" t="str">
        <f>IFERROR(ROUNDUP(CB19/INDEX(productData[units_per_carton],MATCH(BZ19,productData[sku],0)),0),"")</f>
        <v/>
      </c>
      <c r="CH19" s="302" t="str">
        <f>IFERROR(ROUNDUP(CD19/INDEX(productData[units_per_carton],MATCH(BZ19,productData[sku],0)),0),"")</f>
        <v/>
      </c>
      <c r="CI19" s="302" t="str">
        <f>IFERROR(ROUNDUP(CF19/INDEX(productData[units_per_carton],MATCH(BZ19,productData[sku])),0),"")</f>
        <v/>
      </c>
      <c r="CJ19" s="302" t="str">
        <f>IFERROR(((CB19+CD19+CF19)/INDEX(productData[units_per_carton],MATCH(BZ19,productData[sku],0)))*INDEX(productData[net_weight],MATCH(BZ19,productData[sku],0)),"")</f>
        <v/>
      </c>
      <c r="CK19" s="302" t="str">
        <f>IFERROR(((CB19+CD19+CF19)/INDEX(productData[units_per_carton],MATCH(BZ19,productData[sku],0)))*INDEX(productData[gross_weight],MATCH(BZ19,productData[sku],0)),"")</f>
        <v/>
      </c>
      <c r="CL19" s="406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03" t="str">
        <f>IFERROR(INDEX(productData[category],MATCH(BZ19,productData[sku],0)),"")</f>
        <v/>
      </c>
      <c r="CN19" s="303" t="str">
        <f>IFERROR(INDEX(productData[size1],MATCH(BZ19,productData[sku],0)),"")</f>
        <v/>
      </c>
      <c r="CO19" s="304" t="str">
        <f>IFERROR(INDEX(productData[hs_code],MATCH(BZ19,productData[sku],0)),"")</f>
        <v/>
      </c>
      <c r="CP19" s="357" t="str">
        <f>IFERROR(INDEX(productData[sku_geko],MATCH(BZ19,productData[sku],0)),"")</f>
        <v/>
      </c>
      <c r="CQ19" s="300"/>
      <c r="CR19" s="375" t="str">
        <f>IFERROR(IF(BZ19="","",IF($BX$15="SALE",INDEX(inventory[COSTO UNITARIO],MATCH(BZ19,inventory[SKU],0)),IF($BX$15="SAMPLING",INDEX(inventory[COSTO UNITARIO],MATCH(BZ19,inventory[SKU],0)),""))),"")</f>
        <v/>
      </c>
      <c r="CS19" s="375" t="str">
        <f t="shared" si="0"/>
        <v/>
      </c>
      <c r="CT19" s="422" t="str">
        <f t="shared" si="1"/>
        <v/>
      </c>
      <c r="CU19" s="349" t="str">
        <f t="shared" si="3"/>
        <v/>
      </c>
      <c r="CW19" s="76"/>
      <c r="CX19" s="95"/>
      <c r="CY19" s="73"/>
      <c r="CZ19" s="74"/>
      <c r="DB19" s="190"/>
      <c r="DH19" s="190"/>
      <c r="EE19" s="329" t="str">
        <f t="array" ref="EE19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/>
      </c>
      <c r="EF19" s="493" t="str">
        <f t="array" ref="EF19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/>
      </c>
      <c r="EG19" s="330" t="str">
        <f>IFERROR(IF('BHPC MANAGER'!$EE19="","",INDEX(inventory[ESISTENZA],MATCH('BHPC MANAGER'!$EE19,inventory[SKU],0))),0)</f>
        <v/>
      </c>
      <c r="EH19" s="331" t="s">
        <v>241</v>
      </c>
      <c r="EI19" s="331" t="str">
        <f t="shared" si="4"/>
        <v/>
      </c>
      <c r="EJ19" s="332" t="s">
        <v>241</v>
      </c>
      <c r="EK19" s="333" t="str">
        <f t="shared" si="5"/>
        <v/>
      </c>
      <c r="FD19" s="365"/>
      <c r="FE19" s="366"/>
      <c r="FF19" s="367"/>
      <c r="FG19" s="367"/>
      <c r="FH19" s="368"/>
      <c r="FI19" s="237"/>
      <c r="FJ19" s="365"/>
      <c r="FK19" s="366" t="s">
        <v>536</v>
      </c>
      <c r="FL19" s="367"/>
      <c r="FM19" s="367"/>
      <c r="FN19" s="368"/>
      <c r="FO19" s="237"/>
      <c r="FP19" s="237"/>
      <c r="FQ19" s="237"/>
      <c r="FR19" s="237"/>
      <c r="FS19" s="237"/>
      <c r="FT19" s="237"/>
      <c r="FU19" s="237"/>
      <c r="FV19" s="237"/>
      <c r="FW19" s="237"/>
      <c r="FX19" s="237"/>
      <c r="FY19" s="237"/>
      <c r="FZ19" s="237"/>
      <c r="GA19" s="237"/>
      <c r="GB19" s="237"/>
      <c r="GC19" s="237"/>
      <c r="GD19" s="237"/>
      <c r="GE19" s="237"/>
      <c r="GF19" s="237"/>
      <c r="GG19" s="237"/>
      <c r="GH19" s="237"/>
      <c r="GI19" s="237"/>
      <c r="GJ19" s="237"/>
      <c r="GK19" s="237"/>
      <c r="GL19" s="237"/>
      <c r="GM19" s="237"/>
      <c r="GN19" s="237"/>
      <c r="GO19" s="237"/>
      <c r="GP19" s="237"/>
      <c r="GQ19" s="237"/>
      <c r="GR19" s="237"/>
      <c r="GS19" s="237"/>
      <c r="GT19" s="237"/>
      <c r="GU19" s="237"/>
      <c r="GV19" s="237"/>
      <c r="GW19" s="237"/>
      <c r="GX19" s="237"/>
      <c r="GY19" s="237"/>
      <c r="GZ19" s="237"/>
      <c r="HA19" s="237"/>
      <c r="HB19" s="237"/>
      <c r="HC19" s="237"/>
      <c r="HD19" s="237"/>
      <c r="HE19" s="237"/>
      <c r="HF19" s="237"/>
      <c r="HG19" s="237"/>
      <c r="HH19" s="237"/>
      <c r="HI19" s="237"/>
      <c r="HJ19" s="237"/>
      <c r="HK19" s="237"/>
      <c r="HL19" s="237"/>
      <c r="HM19" s="237"/>
      <c r="HN19" s="237"/>
      <c r="HO19" s="237"/>
      <c r="HP19" s="237"/>
      <c r="HQ19" s="237"/>
      <c r="HR19" s="237"/>
      <c r="HS19" s="237"/>
      <c r="HT19" s="237"/>
    </row>
    <row r="20" spans="1:228" ht="15" customHeight="1" thickBot="1" x14ac:dyDescent="0.4">
      <c r="D20" s="380"/>
      <c r="F20" s="79"/>
      <c r="G20" s="373" t="str">
        <f>IFERROR(INDEX(orderData[pallet_type],MATCH($B$4,orderData[order_no],0)),"")</f>
        <v/>
      </c>
      <c r="H20" s="72"/>
      <c r="L20" s="280" t="str">
        <f t="array" ref="L20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0" s="281" t="str">
        <f t="array" ref="M20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0" s="282" t="str">
        <f t="array" ref="N20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0" s="283" t="str">
        <f t="array" ref="O20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0" s="284" t="str">
        <f t="array" ref="P20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0" s="285" t="str">
        <f t="array" ref="Q20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0" s="286" t="str">
        <f t="array" ref="R20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0" s="345" t="str">
        <f t="array" ref="S20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0" s="287" t="str">
        <f t="array" ref="T20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0" s="282" t="str">
        <f t="array" ref="U20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0" s="287" t="str">
        <f t="array" ref="V20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0" s="384" t="str">
        <f t="array" ref="W20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O20" s="243"/>
      <c r="AQ20" s="270"/>
      <c r="AR20" s="438"/>
      <c r="AS20" s="721"/>
      <c r="AT20" s="720"/>
      <c r="AW20" s="270"/>
      <c r="BD20" s="728"/>
      <c r="BE20" s="728"/>
      <c r="BF20" s="728"/>
      <c r="BG20" s="728"/>
      <c r="BH20" s="728"/>
      <c r="BN20" s="425"/>
      <c r="BO20" s="263"/>
      <c r="BX20" s="238"/>
      <c r="BZ20" s="356"/>
      <c r="CA20" s="297" t="str">
        <f>IFERROR(IF(BZ20="","",INDEX(productData[description],MATCH(BZ20,productData[sku],0))),"")</f>
        <v/>
      </c>
      <c r="CB20" s="298"/>
      <c r="CC20" s="414"/>
      <c r="CD20" s="305"/>
      <c r="CE20" s="417"/>
      <c r="CF20" s="300"/>
      <c r="CG20" s="301" t="str">
        <f>IFERROR(ROUNDUP(CB20/INDEX(productData[units_per_carton],MATCH(BZ20,productData[sku],0)),0),"")</f>
        <v/>
      </c>
      <c r="CH20" s="302" t="str">
        <f>IFERROR(ROUNDUP(CD20/INDEX(productData[units_per_carton],MATCH(BZ20,productData[sku],0)),0),"")</f>
        <v/>
      </c>
      <c r="CI20" s="302" t="str">
        <f>IFERROR(ROUNDUP(CF20/INDEX(productData[units_per_carton],MATCH(BZ20,productData[sku])),0),"")</f>
        <v/>
      </c>
      <c r="CJ20" s="302" t="str">
        <f>IFERROR(((CB20+CD20+CF20)/INDEX(productData[units_per_carton],MATCH(BZ20,productData[sku],0)))*INDEX(productData[net_weight],MATCH(BZ20,productData[sku],0)),"")</f>
        <v/>
      </c>
      <c r="CK20" s="302" t="str">
        <f>IFERROR(((CB20+CD20+CF20)/INDEX(productData[units_per_carton],MATCH(BZ20,productData[sku],0)))*INDEX(productData[gross_weight],MATCH(BZ20,productData[sku],0)),"")</f>
        <v/>
      </c>
      <c r="CL20" s="406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03" t="str">
        <f>IFERROR(INDEX(productData[category],MATCH(BZ20,productData[sku],0)),"")</f>
        <v/>
      </c>
      <c r="CN20" s="303" t="str">
        <f>IFERROR(INDEX(productData[size1],MATCH(BZ20,productData[sku],0)),"")</f>
        <v/>
      </c>
      <c r="CO20" s="304" t="str">
        <f>IFERROR(INDEX(productData[hs_code],MATCH(BZ20,productData[sku],0)),"")</f>
        <v/>
      </c>
      <c r="CP20" s="357" t="str">
        <f>IFERROR(INDEX(productData[sku_geko],MATCH(BZ20,productData[sku],0)),"")</f>
        <v/>
      </c>
      <c r="CQ20" s="300"/>
      <c r="CR20" s="375" t="str">
        <f>IFERROR(IF(BZ20="","",IF($BX$15="SALE",INDEX(inventory[COSTO UNITARIO],MATCH(BZ20,inventory[SKU],0)),IF($BX$15="SAMPLING",INDEX(inventory[COSTO UNITARIO],MATCH(BZ20,inventory[SKU],0)),""))),"")</f>
        <v/>
      </c>
      <c r="CS20" s="375" t="str">
        <f t="shared" si="0"/>
        <v/>
      </c>
      <c r="CT20" s="422" t="str">
        <f t="shared" si="1"/>
        <v/>
      </c>
      <c r="CU20" s="349" t="str">
        <f t="shared" si="3"/>
        <v/>
      </c>
      <c r="CW20" s="97" t="s">
        <v>206</v>
      </c>
      <c r="CX20" s="269"/>
      <c r="CY20" s="269"/>
      <c r="CZ20" s="269"/>
      <c r="DB20" s="190"/>
      <c r="DH20" s="190"/>
      <c r="EE20" s="334" t="str">
        <f t="array" ref="EE20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/>
      </c>
      <c r="EF20" s="494" t="str">
        <f t="array" ref="EF20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/>
      </c>
      <c r="EG20" s="335" t="str">
        <f>IFERROR(IF('BHPC MANAGER'!$EE20="","",INDEX(inventory[ESISTENZA],MATCH('BHPC MANAGER'!$EE20,inventory[SKU],0))),0)</f>
        <v/>
      </c>
      <c r="EH20" s="336" t="s">
        <v>241</v>
      </c>
      <c r="EI20" s="336" t="str">
        <f t="shared" si="4"/>
        <v/>
      </c>
      <c r="EJ20" s="337" t="s">
        <v>241</v>
      </c>
      <c r="EK20" s="338" t="str">
        <f t="shared" si="5"/>
        <v/>
      </c>
      <c r="FD20" s="240" t="s">
        <v>370</v>
      </c>
      <c r="FF20" s="237"/>
      <c r="FG20" s="237"/>
      <c r="FH20" s="237"/>
      <c r="FI20" s="237"/>
      <c r="FJ20" s="248" t="s">
        <v>543</v>
      </c>
      <c r="FK20" s="248"/>
      <c r="FL20" s="237"/>
      <c r="FM20" s="237"/>
      <c r="FN20" s="237"/>
      <c r="FO20" s="237"/>
      <c r="FP20" s="237"/>
      <c r="FQ20" s="237"/>
      <c r="FR20" s="237"/>
      <c r="FS20" s="237"/>
      <c r="FT20" s="237"/>
      <c r="FU20" s="237"/>
      <c r="FV20" s="237"/>
      <c r="FW20" s="237"/>
      <c r="FX20" s="237"/>
      <c r="FY20" s="237"/>
      <c r="FZ20" s="237"/>
      <c r="GA20" s="237"/>
      <c r="GB20" s="237"/>
      <c r="GC20" s="237"/>
      <c r="GD20" s="237"/>
      <c r="GE20" s="237"/>
      <c r="GF20" s="237"/>
      <c r="GG20" s="237"/>
      <c r="GH20" s="237"/>
      <c r="GI20" s="237"/>
      <c r="GJ20" s="237"/>
      <c r="GK20" s="237"/>
      <c r="GL20" s="237"/>
      <c r="GM20" s="237"/>
      <c r="GN20" s="237"/>
      <c r="GO20" s="237"/>
      <c r="GP20" s="237"/>
      <c r="GQ20" s="237"/>
      <c r="GR20" s="237"/>
      <c r="GS20" s="237"/>
      <c r="GT20" s="237"/>
      <c r="GU20" s="237"/>
      <c r="GV20" s="237"/>
      <c r="GW20" s="237"/>
      <c r="GX20" s="237"/>
      <c r="GY20" s="237"/>
      <c r="GZ20" s="237"/>
      <c r="HA20" s="237"/>
      <c r="HB20" s="237"/>
      <c r="HC20" s="237"/>
      <c r="HD20" s="237"/>
      <c r="HE20" s="237"/>
      <c r="HF20" s="237"/>
      <c r="HG20" s="237"/>
      <c r="HH20" s="237"/>
      <c r="HI20" s="237"/>
      <c r="HJ20" s="237"/>
      <c r="HK20" s="237"/>
      <c r="HL20" s="237"/>
      <c r="HM20" s="237"/>
      <c r="HN20" s="237"/>
      <c r="HO20" s="237"/>
      <c r="HP20" s="237"/>
      <c r="HQ20" s="237"/>
      <c r="HR20" s="237"/>
      <c r="HS20" s="237"/>
      <c r="HT20" s="237"/>
    </row>
    <row r="21" spans="1:228" ht="15" customHeight="1" x14ac:dyDescent="0.35">
      <c r="D21" s="379"/>
      <c r="F21" s="79"/>
      <c r="G21" s="543" t="s">
        <v>540</v>
      </c>
      <c r="H21" s="72"/>
      <c r="L21" s="280" t="str">
        <f t="array" ref="L21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1" s="281" t="str">
        <f t="array" ref="M21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1" s="282" t="str">
        <f t="array" ref="N21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1" s="283" t="str">
        <f t="array" ref="O21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1" s="284" t="str">
        <f t="array" ref="P21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1" s="285" t="str">
        <f t="array" ref="Q21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1" s="286" t="str">
        <f t="array" ref="R21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1" s="345" t="str">
        <f t="array" ref="S21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1" s="287" t="str">
        <f t="array" ref="T21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1" s="282" t="str">
        <f t="array" ref="U21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1" s="287" t="str">
        <f t="array" ref="V21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1" s="384" t="str">
        <f t="array" ref="W21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O21" s="243"/>
      <c r="AQ21" s="270"/>
      <c r="AR21" s="438"/>
      <c r="AS21" s="721"/>
      <c r="AT21" s="720"/>
      <c r="AW21" s="270"/>
      <c r="AX21" s="243"/>
      <c r="AZ21" s="244"/>
      <c r="BB21" s="244"/>
      <c r="BD21" s="243"/>
      <c r="BN21" s="425"/>
      <c r="BO21" s="263"/>
      <c r="BX21" s="238"/>
      <c r="BZ21" s="356"/>
      <c r="CA21" s="297" t="str">
        <f>IFERROR(IF(BZ21="","",INDEX(productData[description],MATCH(BZ21,productData[sku],0))),"")</f>
        <v/>
      </c>
      <c r="CB21" s="298"/>
      <c r="CC21" s="415"/>
      <c r="CD21" s="307"/>
      <c r="CE21" s="417"/>
      <c r="CF21" s="300"/>
      <c r="CG21" s="301" t="str">
        <f>IFERROR(ROUNDUP(CB21/INDEX(productData[units_per_carton],MATCH(BZ21,productData[sku],0)),0),"")</f>
        <v/>
      </c>
      <c r="CH21" s="302" t="str">
        <f>IFERROR(ROUNDUP(CD21/INDEX(productData[units_per_carton],MATCH(BZ21,productData[sku],0)),0),"")</f>
        <v/>
      </c>
      <c r="CI21" s="302" t="str">
        <f>IFERROR(ROUNDUP(CF21/INDEX(productData[units_per_carton],MATCH(BZ21,productData[sku])),0),"")</f>
        <v/>
      </c>
      <c r="CJ21" s="302" t="str">
        <f>IFERROR(((CB21+CD21+CF21)/INDEX(productData[units_per_carton],MATCH(BZ21,productData[sku],0)))*INDEX(productData[net_weight],MATCH(BZ21,productData[sku],0)),"")</f>
        <v/>
      </c>
      <c r="CK21" s="302" t="str">
        <f>IFERROR(((CB21+CD21+CF21)/INDEX(productData[units_per_carton],MATCH(BZ21,productData[sku],0)))*INDEX(productData[gross_weight],MATCH(BZ21,productData[sku],0)),"")</f>
        <v/>
      </c>
      <c r="CL21" s="406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03" t="str">
        <f>IFERROR(INDEX(productData[category],MATCH(BZ21,productData[sku],0)),"")</f>
        <v/>
      </c>
      <c r="CN21" s="303" t="str">
        <f>IFERROR(INDEX(productData[size1],MATCH(BZ21,productData[sku],0)),"")</f>
        <v/>
      </c>
      <c r="CO21" s="304" t="str">
        <f>IFERROR(INDEX(productData[hs_code],MATCH(BZ21,productData[sku],0)),"")</f>
        <v/>
      </c>
      <c r="CP21" s="357" t="str">
        <f>IFERROR(INDEX(productData[sku_geko],MATCH(BZ21,productData[sku],0)),"")</f>
        <v/>
      </c>
      <c r="CQ21" s="300"/>
      <c r="CR21" s="374" t="str">
        <f>IFERROR(IF(BZ21="","",IF($BX$15="SALE",INDEX(inventory[COSTO UNITARIO],MATCH(BZ21,inventory[SKU],0)),IF($BX$15="SAMPLING",INDEX(inventory[COSTO UNITARIO],MATCH(BZ21,inventory[SKU],0)),""))),"")</f>
        <v/>
      </c>
      <c r="CS21" s="374" t="str">
        <f t="shared" si="0"/>
        <v/>
      </c>
      <c r="CT21" s="422" t="str">
        <f t="shared" si="1"/>
        <v/>
      </c>
      <c r="CU21" s="349" t="str">
        <f t="shared" si="3"/>
        <v/>
      </c>
      <c r="CW21" s="75"/>
      <c r="CX21" s="71"/>
      <c r="CY21" s="71"/>
      <c r="CZ21" s="72"/>
      <c r="DB21" s="190"/>
      <c r="DH21" s="190"/>
      <c r="EE21" s="329" t="str">
        <f t="array" ref="EE21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/>
      </c>
      <c r="EF21" s="493" t="str">
        <f t="array" ref="EF21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/>
      </c>
      <c r="EG21" s="330" t="str">
        <f>IFERROR(IF('BHPC MANAGER'!$EE21="","",INDEX(inventory[ESISTENZA],MATCH('BHPC MANAGER'!$EE21,inventory[SKU],0))),0)</f>
        <v/>
      </c>
      <c r="EH21" s="331" t="s">
        <v>241</v>
      </c>
      <c r="EI21" s="331" t="str">
        <f t="shared" si="4"/>
        <v/>
      </c>
      <c r="EJ21" s="332" t="s">
        <v>241</v>
      </c>
      <c r="EK21" s="333" t="str">
        <f t="shared" si="5"/>
        <v/>
      </c>
      <c r="FD21" s="359"/>
      <c r="FE21" s="360"/>
      <c r="FF21" s="361"/>
      <c r="FG21" s="361"/>
      <c r="FH21" s="362"/>
      <c r="FI21" s="237"/>
      <c r="FJ21" s="533"/>
      <c r="FK21" s="534"/>
      <c r="FL21" s="535"/>
      <c r="FM21" s="535"/>
      <c r="FN21" s="536"/>
      <c r="FO21" s="237"/>
      <c r="FP21" s="237"/>
      <c r="FQ21" s="237"/>
      <c r="FR21" s="237"/>
      <c r="FS21" s="237"/>
      <c r="FT21" s="237"/>
      <c r="FU21" s="237"/>
      <c r="FV21" s="237"/>
      <c r="FW21" s="237"/>
      <c r="FX21" s="237"/>
      <c r="FY21" s="237"/>
      <c r="FZ21" s="237"/>
      <c r="GA21" s="237"/>
      <c r="GB21" s="237"/>
      <c r="GC21" s="237"/>
      <c r="GD21" s="237"/>
      <c r="GE21" s="237"/>
      <c r="GF21" s="237"/>
      <c r="GG21" s="237"/>
      <c r="GH21" s="237"/>
      <c r="GI21" s="237"/>
      <c r="GJ21" s="237"/>
      <c r="GK21" s="237"/>
      <c r="GL21" s="237"/>
      <c r="GM21" s="237"/>
      <c r="GN21" s="237"/>
      <c r="GO21" s="237"/>
      <c r="GP21" s="237"/>
      <c r="GQ21" s="237"/>
      <c r="GR21" s="237"/>
      <c r="GS21" s="237"/>
      <c r="GT21" s="237"/>
      <c r="GU21" s="237"/>
      <c r="GV21" s="237"/>
      <c r="GW21" s="237"/>
      <c r="GX21" s="237"/>
      <c r="GY21" s="237"/>
      <c r="GZ21" s="237"/>
      <c r="HA21" s="237"/>
      <c r="HB21" s="237"/>
      <c r="HC21" s="237"/>
      <c r="HD21" s="237"/>
      <c r="HE21" s="237"/>
      <c r="HF21" s="237"/>
      <c r="HG21" s="237"/>
      <c r="HH21" s="237"/>
      <c r="HI21" s="237"/>
      <c r="HJ21" s="237"/>
      <c r="HK21" s="237"/>
      <c r="HL21" s="237"/>
      <c r="HM21" s="237"/>
      <c r="HN21" s="237"/>
      <c r="HO21" s="237"/>
      <c r="HP21" s="237"/>
      <c r="HQ21" s="237"/>
      <c r="HR21" s="237"/>
      <c r="HS21" s="237"/>
      <c r="HT21" s="237"/>
    </row>
    <row r="22" spans="1:228" ht="15" customHeight="1" x14ac:dyDescent="0.35">
      <c r="F22" s="79"/>
      <c r="G22" s="373" t="str">
        <f>IFERROR(INDEX(orderData[pallet_no],MATCH($B$4,orderData[order_no],0)),"")</f>
        <v/>
      </c>
      <c r="H22" s="72"/>
      <c r="L22" s="280" t="str">
        <f t="array" ref="L22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2" s="281" t="str">
        <f t="array" ref="M22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2" s="282" t="str">
        <f t="array" ref="N22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2" s="283" t="str">
        <f t="array" ref="O22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2" s="284" t="str">
        <f t="array" ref="P22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2" s="285" t="str">
        <f t="array" ref="Q22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2" s="286" t="str">
        <f t="array" ref="R22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2" s="345" t="str">
        <f t="array" ref="S22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2" s="287" t="str">
        <f t="array" ref="T22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2" s="282" t="str">
        <f t="array" ref="U22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2" s="287" t="str">
        <f t="array" ref="V22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2" s="384" t="str">
        <f t="array" ref="W22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2" s="270"/>
      <c r="AX22" s="432"/>
      <c r="AZ22" s="442"/>
      <c r="BB22" s="433"/>
      <c r="BD22" s="728"/>
      <c r="BE22" s="728"/>
      <c r="BF22" s="728"/>
      <c r="BG22" s="728"/>
      <c r="BH22" s="728"/>
      <c r="BN22" s="425"/>
      <c r="BO22" s="263"/>
      <c r="BX22" s="238"/>
      <c r="BZ22" s="356"/>
      <c r="CA22" s="297" t="str">
        <f>IFERROR(IF(BZ22="","",INDEX(productData[description],MATCH(BZ22,productData[sku],0))),"")</f>
        <v/>
      </c>
      <c r="CB22" s="299"/>
      <c r="CC22" s="415"/>
      <c r="CD22" s="305"/>
      <c r="CE22" s="417"/>
      <c r="CF22" s="300"/>
      <c r="CG22" s="301" t="str">
        <f>IFERROR(ROUNDUP(CB22/INDEX(productData[units_per_carton],MATCH(BZ22,productData[sku],0)),0),"")</f>
        <v/>
      </c>
      <c r="CH22" s="302" t="str">
        <f>IFERROR(ROUNDUP(CD22/INDEX(productData[units_per_carton],MATCH(BZ22,productData[sku],0)),0),"")</f>
        <v/>
      </c>
      <c r="CI22" s="302" t="str">
        <f>IFERROR(ROUNDUP(CF22/INDEX(productData[units_per_carton],MATCH(BZ22,productData[sku])),0),"")</f>
        <v/>
      </c>
      <c r="CJ22" s="302" t="str">
        <f>IFERROR(((CB22+CD22+CF22)/INDEX(productData[units_per_carton],MATCH(BZ22,productData[sku],0)))*INDEX(productData[net_weight],MATCH(BZ22,productData[sku],0)),"")</f>
        <v/>
      </c>
      <c r="CK22" s="302" t="str">
        <f>IFERROR(((CB22+CD22+CF22)/INDEX(productData[units_per_carton],MATCH(BZ22,productData[sku],0)))*INDEX(productData[gross_weight],MATCH(BZ22,productData[sku],0)),"")</f>
        <v/>
      </c>
      <c r="CL22" s="406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03" t="str">
        <f>IFERROR(INDEX(productData[category],MATCH(BZ22,productData[sku],0)),"")</f>
        <v/>
      </c>
      <c r="CN22" s="303" t="str">
        <f>IFERROR(INDEX(productData[size1],MATCH(BZ22,productData[sku],0)),"")</f>
        <v/>
      </c>
      <c r="CO22" s="304" t="str">
        <f>IFERROR(INDEX(productData[hs_code],MATCH(BZ22,productData[sku],0)),"")</f>
        <v/>
      </c>
      <c r="CP22" s="357" t="str">
        <f>IFERROR(INDEX(productData[sku_geko],MATCH(BZ22,productData[sku],0)),"")</f>
        <v/>
      </c>
      <c r="CQ22" s="300"/>
      <c r="CR22" s="375" t="str">
        <f>IFERROR(IF(BZ22="","",IF($BX$15="SALE",INDEX(inventory[COSTO UNITARIO],MATCH(BZ22,inventory[SKU],0)),IF($BX$15="SAMPLING",INDEX(inventory[COSTO UNITARIO],MATCH(BZ22,inventory[SKU],0)),""))),"")</f>
        <v/>
      </c>
      <c r="CS22" s="375" t="str">
        <f t="shared" ref="CS22:CS72" si="6">IFERROR(IF(BZ22="","",(CB22+CD22)*CR22),"")</f>
        <v/>
      </c>
      <c r="CT22" s="422" t="str">
        <f t="shared" ref="CT22:CT72" si="7">IF(BZ22="","",CB22*CC22+CD22*CE22)</f>
        <v/>
      </c>
      <c r="CU22" s="349" t="str">
        <f t="shared" si="3"/>
        <v/>
      </c>
      <c r="CW22" s="75"/>
      <c r="CX22" s="77" t="s">
        <v>207</v>
      </c>
      <c r="CY22" s="466">
        <f>SUM($CG$8:$CI$110)</f>
        <v>0</v>
      </c>
      <c r="CZ22" s="72"/>
      <c r="DB22" s="190"/>
      <c r="DH22" s="190"/>
      <c r="EE22" s="334" t="str">
        <f t="array" ref="EE22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/>
      </c>
      <c r="EF22" s="494" t="str">
        <f t="array" ref="EF22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/>
      </c>
      <c r="EG22" s="335" t="str">
        <f>IFERROR(IF('BHPC MANAGER'!$EE22="","",INDEX(inventory[ESISTENZA],MATCH('BHPC MANAGER'!$EE22,inventory[SKU],0))),0)</f>
        <v/>
      </c>
      <c r="EH22" s="336" t="s">
        <v>241</v>
      </c>
      <c r="EI22" s="336" t="str">
        <f t="shared" si="4"/>
        <v/>
      </c>
      <c r="EJ22" s="337" t="s">
        <v>241</v>
      </c>
      <c r="EK22" s="338" t="str">
        <f t="shared" si="5"/>
        <v/>
      </c>
      <c r="FD22" s="363"/>
      <c r="FE22" s="190" t="s">
        <v>309</v>
      </c>
      <c r="FF22" s="369">
        <v>45292</v>
      </c>
      <c r="FG22" s="237"/>
      <c r="FH22" s="364"/>
      <c r="FI22" s="237"/>
      <c r="FJ22" s="537"/>
      <c r="FK22" s="243"/>
      <c r="FL22" s="244"/>
      <c r="FM22" s="244"/>
      <c r="FN22" s="538"/>
      <c r="FO22" s="237"/>
      <c r="FP22" s="237"/>
      <c r="FQ22" s="237"/>
      <c r="FR22" s="237"/>
      <c r="FS22" s="237"/>
      <c r="FT22" s="237"/>
      <c r="FU22" s="237"/>
      <c r="FV22" s="237"/>
      <c r="FW22" s="237"/>
      <c r="FX22" s="237"/>
      <c r="FY22" s="237"/>
      <c r="FZ22" s="237"/>
      <c r="GA22" s="237"/>
      <c r="GB22" s="237"/>
      <c r="GC22" s="237"/>
      <c r="GD22" s="237"/>
      <c r="GE22" s="237"/>
      <c r="GF22" s="237"/>
      <c r="GG22" s="237"/>
      <c r="GH22" s="237"/>
      <c r="GI22" s="237"/>
      <c r="GJ22" s="237"/>
      <c r="GK22" s="237"/>
      <c r="GL22" s="237"/>
      <c r="GM22" s="237"/>
      <c r="GN22" s="237"/>
      <c r="GO22" s="237"/>
      <c r="GP22" s="237"/>
      <c r="GQ22" s="237"/>
      <c r="GR22" s="237"/>
      <c r="GS22" s="237"/>
      <c r="GT22" s="237"/>
      <c r="GU22" s="237"/>
      <c r="GV22" s="237"/>
      <c r="GW22" s="237"/>
      <c r="GX22" s="237"/>
      <c r="GY22" s="237"/>
      <c r="GZ22" s="237"/>
      <c r="HA22" s="237"/>
      <c r="HB22" s="237"/>
      <c r="HC22" s="237"/>
      <c r="HD22" s="237"/>
      <c r="HE22" s="237"/>
      <c r="HF22" s="237"/>
      <c r="HG22" s="237"/>
      <c r="HH22" s="237"/>
      <c r="HI22" s="237"/>
      <c r="HJ22" s="237"/>
      <c r="HK22" s="237"/>
      <c r="HL22" s="237"/>
      <c r="HM22" s="237"/>
      <c r="HN22" s="237"/>
      <c r="HO22" s="237"/>
      <c r="HP22" s="237"/>
      <c r="HQ22" s="237"/>
      <c r="HR22" s="237"/>
      <c r="HS22" s="237"/>
      <c r="HT22" s="237"/>
    </row>
    <row r="23" spans="1:228" ht="15" customHeight="1" x14ac:dyDescent="0.35">
      <c r="F23" s="79"/>
      <c r="G23" s="543" t="s">
        <v>541</v>
      </c>
      <c r="H23" s="72"/>
      <c r="L23" s="280" t="str">
        <f t="array" ref="L23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3" s="281" t="str">
        <f t="array" ref="M23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3" s="282" t="str">
        <f t="array" ref="N23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3" s="283" t="str">
        <f t="array" ref="O23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3" s="284" t="str">
        <f t="array" ref="P23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3" s="285" t="str">
        <f t="array" ref="Q23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3" s="286" t="str">
        <f t="array" ref="R23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3" s="345" t="str">
        <f t="array" ref="S23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3" s="287" t="str">
        <f t="array" ref="T23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3" s="282" t="str">
        <f t="array" ref="U23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3" s="287" t="str">
        <f t="array" ref="V23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3" s="384" t="str">
        <f t="array" ref="W23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3" s="240"/>
      <c r="AX23" s="243"/>
      <c r="BD23" s="728"/>
      <c r="BE23" s="728"/>
      <c r="BF23" s="728"/>
      <c r="BG23" s="728"/>
      <c r="BH23" s="728"/>
      <c r="BN23" s="425"/>
      <c r="BO23" s="263"/>
      <c r="BX23" s="238"/>
      <c r="BZ23" s="356"/>
      <c r="CA23" s="297" t="str">
        <f>IFERROR(IF(BZ23="","",INDEX(productData[description],MATCH(BZ23,productData[sku],0))),"")</f>
        <v/>
      </c>
      <c r="CB23" s="298"/>
      <c r="CC23" s="415"/>
      <c r="CD23" s="305"/>
      <c r="CE23" s="417"/>
      <c r="CF23" s="300"/>
      <c r="CG23" s="301" t="str">
        <f>IFERROR(ROUNDUP(CB23/INDEX(productData[units_per_carton],MATCH(BZ23,productData[sku],0)),0),"")</f>
        <v/>
      </c>
      <c r="CH23" s="302" t="str">
        <f>IFERROR(ROUNDUP(CD23/INDEX(productData[units_per_carton],MATCH(BZ23,productData[sku],0)),0),"")</f>
        <v/>
      </c>
      <c r="CI23" s="302" t="str">
        <f>IFERROR(ROUNDUP(CF23/INDEX(productData[units_per_carton],MATCH(BZ23,productData[sku])),0),"")</f>
        <v/>
      </c>
      <c r="CJ23" s="302" t="str">
        <f>IFERROR(((CB23+CD23+CF23)/INDEX(productData[units_per_carton],MATCH(BZ23,productData[sku],0)))*INDEX(productData[net_weight],MATCH(BZ23,productData[sku],0)),"")</f>
        <v/>
      </c>
      <c r="CK23" s="302" t="str">
        <f>IFERROR(((CB23+CD23+CF23)/INDEX(productData[units_per_carton],MATCH(BZ23,productData[sku],0)))*INDEX(productData[gross_weight],MATCH(BZ23,productData[sku],0)),"")</f>
        <v/>
      </c>
      <c r="CL23" s="406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03" t="str">
        <f>IFERROR(INDEX(productData[category],MATCH(BZ23,productData[sku],0)),"")</f>
        <v/>
      </c>
      <c r="CN23" s="303" t="str">
        <f>IFERROR(INDEX(productData[size1],MATCH(BZ23,productData[sku],0)),"")</f>
        <v/>
      </c>
      <c r="CO23" s="304" t="str">
        <f>IFERROR(INDEX(productData[hs_code],MATCH(BZ23,productData[sku],0)),"")</f>
        <v/>
      </c>
      <c r="CP23" s="357" t="str">
        <f>IFERROR(INDEX(productData[sku_geko],MATCH(BZ23,productData[sku],0)),"")</f>
        <v/>
      </c>
      <c r="CQ23" s="300"/>
      <c r="CR23" s="375" t="str">
        <f>IFERROR(IF(BZ23="","",IF($BX$15="SALE",INDEX(inventory[COSTO UNITARIO],MATCH(BZ23,inventory[SKU],0)),IF($BX$15="SAMPLING",INDEX(inventory[COSTO UNITARIO],MATCH(BZ23,inventory[SKU],0)),""))),"")</f>
        <v/>
      </c>
      <c r="CS23" s="375" t="str">
        <f t="shared" si="6"/>
        <v/>
      </c>
      <c r="CT23" s="422" t="str">
        <f t="shared" si="7"/>
        <v/>
      </c>
      <c r="CU23" s="349" t="str">
        <f t="shared" si="3"/>
        <v/>
      </c>
      <c r="CW23" s="75"/>
      <c r="CX23" s="77" t="s">
        <v>16</v>
      </c>
      <c r="CY23" s="187">
        <f>SUM($CL$8:$CL$110)</f>
        <v>0</v>
      </c>
      <c r="CZ23" s="72"/>
      <c r="DB23" s="190"/>
      <c r="DH23" s="190"/>
      <c r="EE23" s="329" t="str">
        <f t="array" ref="EE23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/>
      </c>
      <c r="EF23" s="493" t="str">
        <f t="array" ref="EF23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/>
      </c>
      <c r="EG23" s="330" t="str">
        <f>IFERROR(IF('BHPC MANAGER'!$EE23="","",INDEX(inventory[ESISTENZA],MATCH('BHPC MANAGER'!$EE23,inventory[SKU],0))),0)</f>
        <v/>
      </c>
      <c r="EH23" s="331" t="s">
        <v>241</v>
      </c>
      <c r="EI23" s="331" t="str">
        <f t="shared" si="4"/>
        <v/>
      </c>
      <c r="EJ23" s="332" t="s">
        <v>241</v>
      </c>
      <c r="EK23" s="333" t="str">
        <f t="shared" si="5"/>
        <v/>
      </c>
      <c r="FD23" s="363"/>
      <c r="FF23" s="237"/>
      <c r="FG23" s="237"/>
      <c r="FH23" s="364"/>
      <c r="FI23" s="237"/>
      <c r="FJ23" s="537"/>
      <c r="FK23" s="243"/>
      <c r="FL23" s="244"/>
      <c r="FM23" s="244"/>
      <c r="FN23" s="538"/>
      <c r="FO23" s="237"/>
      <c r="FP23" s="237"/>
      <c r="FQ23" s="237"/>
      <c r="FR23" s="237"/>
      <c r="FS23" s="237"/>
      <c r="FT23" s="237"/>
      <c r="FU23" s="237"/>
      <c r="FV23" s="237"/>
      <c r="FW23" s="237"/>
      <c r="FX23" s="237"/>
      <c r="FY23" s="237"/>
      <c r="FZ23" s="237"/>
      <c r="GA23" s="237"/>
      <c r="GB23" s="237"/>
      <c r="GC23" s="237"/>
      <c r="GD23" s="237"/>
      <c r="GE23" s="237"/>
      <c r="GF23" s="237"/>
      <c r="GG23" s="237"/>
      <c r="GH23" s="237"/>
      <c r="GI23" s="237"/>
      <c r="GJ23" s="237"/>
      <c r="GK23" s="237"/>
      <c r="GL23" s="237"/>
      <c r="GM23" s="237"/>
      <c r="GN23" s="237"/>
      <c r="GO23" s="237"/>
      <c r="GP23" s="237"/>
      <c r="GQ23" s="237"/>
      <c r="GR23" s="237"/>
      <c r="GS23" s="237"/>
      <c r="GT23" s="237"/>
      <c r="GU23" s="237"/>
      <c r="GV23" s="237"/>
      <c r="GW23" s="237"/>
      <c r="GX23" s="237"/>
      <c r="GY23" s="237"/>
      <c r="GZ23" s="237"/>
      <c r="HA23" s="237"/>
      <c r="HB23" s="237"/>
      <c r="HC23" s="237"/>
      <c r="HD23" s="237"/>
      <c r="HE23" s="237"/>
      <c r="HF23" s="237"/>
      <c r="HG23" s="237"/>
      <c r="HH23" s="237"/>
      <c r="HI23" s="237"/>
      <c r="HJ23" s="237"/>
      <c r="HK23" s="237"/>
      <c r="HL23" s="237"/>
      <c r="HM23" s="237"/>
      <c r="HN23" s="237"/>
      <c r="HO23" s="237"/>
      <c r="HP23" s="237"/>
      <c r="HQ23" s="237"/>
      <c r="HR23" s="237"/>
      <c r="HS23" s="237"/>
      <c r="HT23" s="237"/>
    </row>
    <row r="24" spans="1:228" ht="15" customHeight="1" x14ac:dyDescent="0.35">
      <c r="D24" s="381"/>
      <c r="F24" s="79"/>
      <c r="G24" s="373" t="str">
        <f>IFERROR(INDEX(orderData[lock_goods],MATCH($B$4,orderData[order_no],0)),"")</f>
        <v/>
      </c>
      <c r="H24" s="72"/>
      <c r="L24" s="280" t="str">
        <f t="array" ref="L24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4" s="281" t="str">
        <f t="array" ref="M24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4" s="282" t="str">
        <f t="array" ref="N24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4" s="283" t="str">
        <f t="array" ref="O24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4" s="284" t="str">
        <f t="array" ref="P24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4" s="285" t="str">
        <f t="array" ref="Q24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4" s="286" t="str">
        <f t="array" ref="R24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4" s="345" t="str">
        <f t="array" ref="S24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4" s="287" t="str">
        <f t="array" ref="T24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4" s="282" t="str">
        <f t="array" ref="U24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4" s="287" t="str">
        <f t="array" ref="V24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4" s="384" t="str">
        <f t="array" ref="W24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4" s="259"/>
      <c r="AT24" s="429"/>
      <c r="AU24" s="429"/>
      <c r="AV24" s="429"/>
      <c r="AX24" s="243"/>
      <c r="BN24" s="425"/>
      <c r="BO24" s="263"/>
      <c r="BX24" s="238"/>
      <c r="BZ24" s="356"/>
      <c r="CA24" s="297" t="str">
        <f>IFERROR(IF(BZ24="","",INDEX(productData[description],MATCH(BZ24,productData[sku],0))),"")</f>
        <v/>
      </c>
      <c r="CB24" s="299"/>
      <c r="CC24" s="415"/>
      <c r="CD24" s="305"/>
      <c r="CE24" s="417"/>
      <c r="CF24" s="300"/>
      <c r="CG24" s="301" t="str">
        <f>IFERROR(ROUNDUP(CB24/INDEX(productData[units_per_carton],MATCH(BZ24,productData[sku],0)),0),"")</f>
        <v/>
      </c>
      <c r="CH24" s="302" t="str">
        <f>IFERROR(ROUNDUP(CD24/INDEX(productData[units_per_carton],MATCH(BZ24,productData[sku],0)),0),"")</f>
        <v/>
      </c>
      <c r="CI24" s="302" t="str">
        <f>IFERROR(ROUNDUP(CF24/INDEX(productData[units_per_carton],MATCH(BZ24,productData[sku])),0),"")</f>
        <v/>
      </c>
      <c r="CJ24" s="302" t="str">
        <f>IFERROR(((CB24+CD24+CF24)/INDEX(productData[units_per_carton],MATCH(BZ24,productData[sku],0)))*INDEX(productData[net_weight],MATCH(BZ24,productData[sku],0)),"")</f>
        <v/>
      </c>
      <c r="CK24" s="302" t="str">
        <f>IFERROR(((CB24+CD24+CF24)/INDEX(productData[units_per_carton],MATCH(BZ24,productData[sku],0)))*INDEX(productData[gross_weight],MATCH(BZ24,productData[sku],0)),"")</f>
        <v/>
      </c>
      <c r="CL24" s="406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03" t="str">
        <f>IFERROR(INDEX(productData[category],MATCH(BZ24,productData[sku],0)),"")</f>
        <v/>
      </c>
      <c r="CN24" s="303" t="str">
        <f>IFERROR(INDEX(productData[size1],MATCH(BZ24,productData[sku],0)),"")</f>
        <v/>
      </c>
      <c r="CO24" s="304" t="str">
        <f>IFERROR(INDEX(productData[hs_code],MATCH(BZ24,productData[sku],0)),"")</f>
        <v/>
      </c>
      <c r="CP24" s="357" t="str">
        <f>IFERROR(INDEX(productData[sku_geko],MATCH(BZ24,productData[sku],0)),"")</f>
        <v/>
      </c>
      <c r="CQ24" s="300"/>
      <c r="CR24" s="374" t="str">
        <f>IFERROR(IF(BZ24="","",IF($BX$15="SALE",INDEX(inventory[COSTO UNITARIO],MATCH(BZ24,inventory[SKU],0)),IF($BX$15="SAMPLING",INDEX(inventory[COSTO UNITARIO],MATCH(BZ24,inventory[SKU],0)),""))),"")</f>
        <v/>
      </c>
      <c r="CS24" s="374" t="str">
        <f t="shared" si="6"/>
        <v/>
      </c>
      <c r="CT24" s="422" t="str">
        <f t="shared" si="7"/>
        <v/>
      </c>
      <c r="CU24" s="349" t="str">
        <f t="shared" si="3"/>
        <v/>
      </c>
      <c r="CW24" s="75"/>
      <c r="CX24" s="96" t="s">
        <v>208</v>
      </c>
      <c r="CY24" s="214">
        <f>SUM(CJ8:CJ110)</f>
        <v>0</v>
      </c>
      <c r="CZ24" s="72"/>
      <c r="DB24" s="190"/>
      <c r="DH24" s="190"/>
      <c r="EE24" s="334" t="str">
        <f t="array" ref="EE24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/>
      </c>
      <c r="EF24" s="494" t="str">
        <f t="array" ref="EF24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/>
      </c>
      <c r="EG24" s="335" t="str">
        <f>IFERROR(IF('BHPC MANAGER'!$EE24="","",INDEX(inventory[ESISTENZA],MATCH('BHPC MANAGER'!$EE24,inventory[SKU],0))),0)</f>
        <v/>
      </c>
      <c r="EH24" s="336" t="s">
        <v>241</v>
      </c>
      <c r="EI24" s="336" t="str">
        <f t="shared" si="4"/>
        <v/>
      </c>
      <c r="EJ24" s="337" t="s">
        <v>241</v>
      </c>
      <c r="EK24" s="338" t="str">
        <f t="shared" si="5"/>
        <v/>
      </c>
      <c r="FD24" s="363"/>
      <c r="FE24" s="190" t="s">
        <v>310</v>
      </c>
      <c r="FF24" s="369">
        <v>45505</v>
      </c>
      <c r="FG24" s="237"/>
      <c r="FH24" s="364"/>
      <c r="FI24" s="237"/>
      <c r="FJ24" s="537"/>
      <c r="FK24" s="243"/>
      <c r="FL24" s="244"/>
      <c r="FM24" s="244"/>
      <c r="FN24" s="538"/>
      <c r="FO24" s="237"/>
      <c r="FP24" s="237"/>
      <c r="FQ24" s="237"/>
      <c r="FR24" s="237"/>
      <c r="FS24" s="237"/>
      <c r="FT24" s="237"/>
      <c r="FU24" s="237"/>
      <c r="FV24" s="237"/>
      <c r="FW24" s="237"/>
      <c r="FX24" s="237"/>
      <c r="FY24" s="237"/>
      <c r="FZ24" s="237"/>
      <c r="GA24" s="237"/>
      <c r="GB24" s="237"/>
      <c r="GC24" s="237"/>
      <c r="GD24" s="237"/>
      <c r="GE24" s="237"/>
      <c r="GF24" s="237"/>
      <c r="GG24" s="237"/>
      <c r="GH24" s="237"/>
      <c r="GI24" s="237"/>
      <c r="GJ24" s="237"/>
      <c r="GK24" s="237"/>
      <c r="GL24" s="237"/>
      <c r="GM24" s="237"/>
      <c r="GN24" s="237"/>
      <c r="GO24" s="237"/>
      <c r="GP24" s="237"/>
      <c r="GQ24" s="237"/>
      <c r="GR24" s="237"/>
      <c r="GS24" s="237"/>
      <c r="GT24" s="237"/>
      <c r="GU24" s="237"/>
      <c r="GV24" s="237"/>
      <c r="GW24" s="237"/>
      <c r="GX24" s="237"/>
      <c r="GY24" s="237"/>
      <c r="GZ24" s="237"/>
      <c r="HA24" s="237"/>
      <c r="HB24" s="237"/>
      <c r="HC24" s="237"/>
      <c r="HD24" s="237"/>
      <c r="HE24" s="237"/>
      <c r="HF24" s="237"/>
      <c r="HG24" s="237"/>
      <c r="HH24" s="237"/>
      <c r="HI24" s="237"/>
      <c r="HJ24" s="237"/>
      <c r="HK24" s="237"/>
      <c r="HL24" s="237"/>
      <c r="HM24" s="237"/>
      <c r="HN24" s="237"/>
      <c r="HO24" s="237"/>
      <c r="HP24" s="237"/>
      <c r="HQ24" s="237"/>
      <c r="HR24" s="237"/>
      <c r="HS24" s="237"/>
      <c r="HT24" s="237"/>
    </row>
    <row r="25" spans="1:228" ht="15" customHeight="1" x14ac:dyDescent="0.35">
      <c r="D25" s="381"/>
      <c r="F25" s="79"/>
      <c r="G25" s="543" t="s">
        <v>542</v>
      </c>
      <c r="H25" s="72"/>
      <c r="L25" s="280" t="str">
        <f t="array" ref="L25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5" s="281" t="str">
        <f t="array" ref="M25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5" s="282" t="str">
        <f t="array" ref="N25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5" s="283" t="str">
        <f t="array" ref="O25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5" s="284" t="str">
        <f t="array" ref="P25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5" s="285" t="str">
        <f t="array" ref="Q25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5" s="286" t="str">
        <f t="array" ref="R25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5" s="345" t="str">
        <f t="array" ref="S25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5" s="287" t="str">
        <f t="array" ref="T25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5" s="282" t="str">
        <f t="array" ref="U25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5" s="287" t="str">
        <f t="array" ref="V25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5" s="384" t="str">
        <f t="array" ref="W25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5" s="270"/>
      <c r="AR25" s="719"/>
      <c r="AS25" s="719"/>
      <c r="AT25" s="719"/>
      <c r="AU25" s="429"/>
      <c r="AV25" s="429"/>
      <c r="AW25" s="240"/>
      <c r="BN25" s="425"/>
      <c r="BO25" s="263"/>
      <c r="BZ25" s="356"/>
      <c r="CA25" s="297" t="str">
        <f>IFERROR(IF(BZ25="","",INDEX(productData[description],MATCH(BZ25,productData[sku],0))),"")</f>
        <v/>
      </c>
      <c r="CB25" s="298"/>
      <c r="CC25" s="413"/>
      <c r="CD25" s="305"/>
      <c r="CE25" s="417"/>
      <c r="CF25" s="300"/>
      <c r="CG25" s="301" t="str">
        <f>IFERROR(ROUNDUP(CB25/INDEX(productData[units_per_carton],MATCH(BZ25,productData[sku],0)),0),"")</f>
        <v/>
      </c>
      <c r="CH25" s="302" t="str">
        <f>IFERROR(ROUNDUP(CD25/INDEX(productData[units_per_carton],MATCH(BZ25,productData[sku],0)),0),"")</f>
        <v/>
      </c>
      <c r="CI25" s="302" t="str">
        <f>IFERROR(ROUNDUP(CF25/INDEX(productData[units_per_carton],MATCH(BZ25,productData[sku])),0),"")</f>
        <v/>
      </c>
      <c r="CJ25" s="302" t="str">
        <f>IFERROR(((CB25+CD25+CF25)/INDEX(productData[units_per_carton],MATCH(BZ25,productData[sku],0)))*INDEX(productData[net_weight],MATCH(BZ25,productData[sku],0)),"")</f>
        <v/>
      </c>
      <c r="CK25" s="302" t="str">
        <f>IFERROR(((CB25+CD25+CF25)/INDEX(productData[units_per_carton],MATCH(BZ25,productData[sku],0)))*INDEX(productData[gross_weight],MATCH(BZ25,productData[sku],0)),"")</f>
        <v/>
      </c>
      <c r="CL25" s="406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03" t="str">
        <f>IFERROR(INDEX(productData[category],MATCH(BZ25,productData[sku],0)),"")</f>
        <v/>
      </c>
      <c r="CN25" s="303" t="str">
        <f>IFERROR(INDEX(productData[size1],MATCH(BZ25,productData[sku],0)),"")</f>
        <v/>
      </c>
      <c r="CO25" s="304" t="str">
        <f>IFERROR(INDEX(productData[hs_code],MATCH(BZ25,productData[sku],0)),"")</f>
        <v/>
      </c>
      <c r="CP25" s="357" t="str">
        <f>IFERROR(INDEX(productData[sku_geko],MATCH(BZ25,productData[sku],0)),"")</f>
        <v/>
      </c>
      <c r="CQ25" s="300"/>
      <c r="CR25" s="375" t="str">
        <f>IFERROR(IF(BZ25="","",IF($BX$15="SALE",INDEX(inventory[COSTO UNITARIO],MATCH(BZ25,inventory[SKU],0)),IF($BX$15="SAMPLING",INDEX(inventory[COSTO UNITARIO],MATCH(BZ25,inventory[SKU],0)),""))),"")</f>
        <v/>
      </c>
      <c r="CS25" s="375" t="str">
        <f t="shared" si="6"/>
        <v/>
      </c>
      <c r="CT25" s="422" t="str">
        <f t="shared" si="7"/>
        <v/>
      </c>
      <c r="CU25" s="349" t="str">
        <f t="shared" si="3"/>
        <v/>
      </c>
      <c r="CW25" s="75"/>
      <c r="CX25" s="96" t="s">
        <v>209</v>
      </c>
      <c r="CY25" s="214">
        <f>SUM(CK8:CK110)</f>
        <v>0</v>
      </c>
      <c r="CZ25" s="72"/>
      <c r="DB25" s="190"/>
      <c r="DH25" s="190"/>
      <c r="EE25" s="329" t="str">
        <f t="array" ref="EE25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/>
      </c>
      <c r="EF25" s="493" t="str">
        <f t="array" ref="EF25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/>
      </c>
      <c r="EG25" s="330" t="str">
        <f>IFERROR(IF('BHPC MANAGER'!$EE25="","",INDEX(inventory[ESISTENZA],MATCH('BHPC MANAGER'!$EE25,inventory[SKU],0))),0)</f>
        <v/>
      </c>
      <c r="EH25" s="331" t="s">
        <v>241</v>
      </c>
      <c r="EI25" s="331" t="str">
        <f t="shared" si="4"/>
        <v/>
      </c>
      <c r="EJ25" s="332" t="s">
        <v>241</v>
      </c>
      <c r="EK25" s="333" t="str">
        <f t="shared" si="5"/>
        <v/>
      </c>
      <c r="FD25" s="365"/>
      <c r="FE25" s="366"/>
      <c r="FF25" s="367"/>
      <c r="FG25" s="367"/>
      <c r="FH25" s="368"/>
      <c r="FI25" s="237"/>
      <c r="FJ25" s="539"/>
      <c r="FK25" s="540"/>
      <c r="FL25" s="541"/>
      <c r="FM25" s="541"/>
      <c r="FN25" s="542"/>
      <c r="FO25" s="237"/>
      <c r="FP25" s="237"/>
      <c r="FQ25" s="237"/>
      <c r="FR25" s="237"/>
      <c r="FS25" s="237"/>
      <c r="FT25" s="237"/>
      <c r="FU25" s="237"/>
      <c r="FV25" s="237"/>
      <c r="FW25" s="237"/>
      <c r="FX25" s="237"/>
      <c r="FY25" s="237"/>
      <c r="FZ25" s="237"/>
      <c r="GA25" s="237"/>
      <c r="GB25" s="237"/>
      <c r="GC25" s="237"/>
      <c r="GD25" s="237"/>
      <c r="GE25" s="237"/>
      <c r="GF25" s="237"/>
      <c r="GG25" s="237"/>
      <c r="GH25" s="237"/>
      <c r="GI25" s="237"/>
      <c r="GJ25" s="237"/>
      <c r="GK25" s="237"/>
      <c r="GL25" s="237"/>
      <c r="GM25" s="237"/>
      <c r="GN25" s="237"/>
      <c r="GO25" s="237"/>
      <c r="GP25" s="237"/>
      <c r="GQ25" s="237"/>
      <c r="GR25" s="237"/>
      <c r="GS25" s="237"/>
      <c r="GT25" s="237"/>
      <c r="GU25" s="237"/>
      <c r="GV25" s="237"/>
      <c r="GW25" s="237"/>
      <c r="GX25" s="237"/>
      <c r="GY25" s="237"/>
      <c r="GZ25" s="237"/>
      <c r="HA25" s="237"/>
      <c r="HB25" s="237"/>
      <c r="HC25" s="237"/>
      <c r="HD25" s="237"/>
      <c r="HE25" s="237"/>
      <c r="HF25" s="237"/>
      <c r="HG25" s="237"/>
      <c r="HH25" s="237"/>
      <c r="HI25" s="237"/>
      <c r="HJ25" s="237"/>
      <c r="HK25" s="237"/>
      <c r="HL25" s="237"/>
      <c r="HM25" s="237"/>
      <c r="HN25" s="237"/>
      <c r="HO25" s="237"/>
      <c r="HP25" s="237"/>
      <c r="HQ25" s="237"/>
      <c r="HR25" s="237"/>
      <c r="HS25" s="237"/>
      <c r="HT25" s="237"/>
    </row>
    <row r="26" spans="1:228" ht="15" customHeight="1" thickBot="1" x14ac:dyDescent="0.4">
      <c r="D26" s="381"/>
      <c r="F26" s="79"/>
      <c r="G26" s="735" t="str">
        <f>IFERROR(INDEX(orderData[carrier_name],MATCH($B$4,orderData[order_no],0)),"")</f>
        <v/>
      </c>
      <c r="H26" s="72"/>
      <c r="L26" s="280" t="str">
        <f t="array" ref="L26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6" s="281" t="str">
        <f t="array" ref="M26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6" s="282" t="str">
        <f t="array" ref="N26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6" s="283" t="str">
        <f t="array" ref="O26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6" s="284" t="str">
        <f t="array" ref="P26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6" s="285" t="str">
        <f t="array" ref="Q26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6" s="286" t="str">
        <f t="array" ref="R26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6" s="345" t="str">
        <f t="array" ref="S26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6" s="287" t="str">
        <f t="array" ref="T26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6" s="282" t="str">
        <f t="array" ref="U26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6" s="287" t="str">
        <f t="array" ref="V26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6" s="384" t="str">
        <f t="array" ref="W26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6" s="443"/>
      <c r="AR26" s="719"/>
      <c r="AS26" s="719"/>
      <c r="AT26" s="719"/>
      <c r="AU26" s="429"/>
      <c r="AV26" s="429"/>
      <c r="BN26" s="425"/>
      <c r="BO26" s="263"/>
      <c r="BZ26" s="356"/>
      <c r="CA26" s="297" t="str">
        <f>IFERROR(IF(BZ26="","",INDEX(productData[description],MATCH(BZ26,productData[sku],0))),"")</f>
        <v/>
      </c>
      <c r="CB26" s="299"/>
      <c r="CC26" s="413"/>
      <c r="CD26" s="305"/>
      <c r="CE26" s="418"/>
      <c r="CF26" s="300"/>
      <c r="CG26" s="301" t="str">
        <f>IFERROR(ROUNDUP(CB26/INDEX(productData[units_per_carton],MATCH(BZ26,productData[sku],0)),0),"")</f>
        <v/>
      </c>
      <c r="CH26" s="302" t="str">
        <f>IFERROR(ROUNDUP(CD26/INDEX(productData[units_per_carton],MATCH(BZ26,productData[sku],0)),0),"")</f>
        <v/>
      </c>
      <c r="CI26" s="302" t="str">
        <f>IFERROR(ROUNDUP(CF26/INDEX(productData[units_per_carton],MATCH(BZ26,productData[sku])),0),"")</f>
        <v/>
      </c>
      <c r="CJ26" s="302" t="str">
        <f>IFERROR(((CB26+CD26+CF26)/INDEX(productData[units_per_carton],MATCH(BZ26,productData[sku],0)))*INDEX(productData[net_weight],MATCH(BZ26,productData[sku],0)),"")</f>
        <v/>
      </c>
      <c r="CK26" s="302" t="str">
        <f>IFERROR(((CB26+CD26+CF26)/INDEX(productData[units_per_carton],MATCH(BZ26,productData[sku],0)))*INDEX(productData[gross_weight],MATCH(BZ26,productData[sku],0)),"")</f>
        <v/>
      </c>
      <c r="CL26" s="406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03" t="str">
        <f>IFERROR(INDEX(productData[category],MATCH(BZ26,productData[sku],0)),"")</f>
        <v/>
      </c>
      <c r="CN26" s="303" t="str">
        <f>IFERROR(INDEX(productData[size1],MATCH(BZ26,productData[sku],0)),"")</f>
        <v/>
      </c>
      <c r="CO26" s="304" t="str">
        <f>IFERROR(INDEX(productData[hs_code],MATCH(BZ26,productData[sku],0)),"")</f>
        <v/>
      </c>
      <c r="CP26" s="357" t="str">
        <f>IFERROR(INDEX(productData[sku_geko],MATCH(BZ26,productData[sku],0)),"")</f>
        <v/>
      </c>
      <c r="CQ26" s="300"/>
      <c r="CR26" s="375" t="str">
        <f>IFERROR(IF(BZ26="","",IF($BX$15="SALE",INDEX(inventory[COSTO UNITARIO],MATCH(BZ26,inventory[SKU],0)),IF($BX$15="SAMPLING",INDEX(inventory[COSTO UNITARIO],MATCH(BZ26,inventory[SKU],0)),""))),"")</f>
        <v/>
      </c>
      <c r="CS26" s="375" t="str">
        <f t="shared" si="6"/>
        <v/>
      </c>
      <c r="CT26" s="422" t="str">
        <f t="shared" si="7"/>
        <v/>
      </c>
      <c r="CU26" s="349" t="str">
        <f t="shared" si="3"/>
        <v/>
      </c>
      <c r="CW26" s="84"/>
      <c r="CX26" s="73"/>
      <c r="CY26" s="73"/>
      <c r="CZ26" s="74"/>
      <c r="DB26" s="190"/>
      <c r="DH26" s="190"/>
      <c r="EE26" s="334" t="str">
        <f t="array" ref="EE26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/>
      </c>
      <c r="EF26" s="494" t="str">
        <f t="array" ref="EF26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/>
      </c>
      <c r="EG26" s="335" t="str">
        <f>IFERROR(IF('BHPC MANAGER'!$EE26="","",INDEX(inventory[ESISTENZA],MATCH('BHPC MANAGER'!$EE26,inventory[SKU],0))),0)</f>
        <v/>
      </c>
      <c r="EH26" s="336" t="s">
        <v>241</v>
      </c>
      <c r="EI26" s="336" t="str">
        <f t="shared" si="4"/>
        <v/>
      </c>
      <c r="EJ26" s="337" t="s">
        <v>241</v>
      </c>
      <c r="EK26" s="338" t="str">
        <f t="shared" si="5"/>
        <v/>
      </c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237"/>
      <c r="FV26" s="237"/>
      <c r="FW26" s="237"/>
      <c r="FX26" s="237"/>
      <c r="FY26" s="237"/>
      <c r="FZ26" s="237"/>
      <c r="GA26" s="237"/>
      <c r="GB26" s="237"/>
      <c r="GC26" s="237"/>
      <c r="GD26" s="237"/>
      <c r="GE26" s="237"/>
      <c r="GF26" s="237"/>
      <c r="GG26" s="237"/>
      <c r="GH26" s="237"/>
      <c r="GI26" s="237"/>
      <c r="GJ26" s="237"/>
      <c r="GK26" s="237"/>
      <c r="GL26" s="237"/>
      <c r="GM26" s="237"/>
      <c r="GN26" s="237"/>
      <c r="GO26" s="237"/>
      <c r="GP26" s="237"/>
      <c r="GQ26" s="237"/>
      <c r="GR26" s="237"/>
      <c r="GS26" s="237"/>
      <c r="GT26" s="237"/>
      <c r="GU26" s="237"/>
      <c r="GV26" s="237"/>
      <c r="GW26" s="237"/>
      <c r="GX26" s="237"/>
      <c r="GY26" s="237"/>
      <c r="GZ26" s="237"/>
      <c r="HA26" s="237"/>
      <c r="HB26" s="237"/>
      <c r="HC26" s="237"/>
      <c r="HD26" s="237"/>
      <c r="HE26" s="237"/>
      <c r="HF26" s="237"/>
      <c r="HG26" s="237"/>
      <c r="HH26" s="237"/>
      <c r="HI26" s="237"/>
      <c r="HJ26" s="237"/>
      <c r="HK26" s="237"/>
      <c r="HL26" s="237"/>
      <c r="HM26" s="237"/>
      <c r="HN26" s="237"/>
      <c r="HO26" s="237"/>
      <c r="HP26" s="237"/>
      <c r="HQ26" s="237"/>
      <c r="HR26" s="237"/>
      <c r="HS26" s="237"/>
      <c r="HT26" s="237"/>
    </row>
    <row r="27" spans="1:228" ht="15" customHeight="1" thickBot="1" x14ac:dyDescent="0.4">
      <c r="D27" s="381"/>
      <c r="F27" s="79"/>
      <c r="G27" s="736"/>
      <c r="H27" s="72"/>
      <c r="L27" s="280" t="str">
        <f t="array" ref="L27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7" s="281" t="str">
        <f t="array" ref="M27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7" s="282" t="str">
        <f t="array" ref="N27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7" s="283" t="str">
        <f t="array" ref="O27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7" s="284" t="str">
        <f t="array" ref="P27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7" s="285" t="str">
        <f t="array" ref="Q27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7" s="286" t="str">
        <f t="array" ref="R27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7" s="345" t="str">
        <f t="array" ref="S27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7" s="287" t="str">
        <f t="array" ref="T27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7" s="282" t="str">
        <f t="array" ref="U27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7" s="287" t="str">
        <f t="array" ref="V27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7" s="384" t="str">
        <f t="array" ref="W27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7" s="270"/>
      <c r="AR27" s="444"/>
      <c r="AS27" s="445"/>
      <c r="AT27" s="446"/>
      <c r="AU27" s="429"/>
      <c r="AV27" s="429"/>
      <c r="AX27" s="716"/>
      <c r="AY27" s="716"/>
      <c r="BB27" s="718"/>
      <c r="BC27" s="718"/>
      <c r="BD27" s="718"/>
      <c r="BE27" s="718"/>
      <c r="BF27" s="718"/>
      <c r="BG27" s="718"/>
      <c r="BH27" s="718"/>
      <c r="BN27" s="425"/>
      <c r="BO27" s="263"/>
      <c r="BZ27" s="356"/>
      <c r="CA27" s="309" t="str">
        <f>IFERROR(IF(BZ27="","",INDEX(productData[description],MATCH(BZ27,productData[sku],0))),"")</f>
        <v/>
      </c>
      <c r="CB27" s="298"/>
      <c r="CC27" s="413"/>
      <c r="CD27" s="305"/>
      <c r="CE27" s="417"/>
      <c r="CF27" s="300"/>
      <c r="CG27" s="301" t="str">
        <f>IFERROR(ROUNDUP(CB27/INDEX(productData[units_per_carton],MATCH(BZ27,productData[sku],0)),0),"")</f>
        <v/>
      </c>
      <c r="CH27" s="302" t="str">
        <f>IFERROR(ROUNDUP(CD27/INDEX(productData[units_per_carton],MATCH(BZ27,productData[sku],0)),0),"")</f>
        <v/>
      </c>
      <c r="CI27" s="302" t="str">
        <f>IFERROR(ROUNDUP(CF27/INDEX(productData[units_per_carton],MATCH(BZ27,productData[sku])),0),"")</f>
        <v/>
      </c>
      <c r="CJ27" s="302" t="str">
        <f>IFERROR(((CB27+CD27+CF27)/INDEX(productData[units_per_carton],MATCH(BZ27,productData[sku],0)))*INDEX(productData[net_weight],MATCH(BZ27,productData[sku],0)),"")</f>
        <v/>
      </c>
      <c r="CK27" s="302" t="str">
        <f>IFERROR(((CB27+CD27+CF27)/INDEX(productData[units_per_carton],MATCH(BZ27,productData[sku],0)))*INDEX(productData[gross_weight],MATCH(BZ27,productData[sku],0)),"")</f>
        <v/>
      </c>
      <c r="CL27" s="406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03" t="str">
        <f>IFERROR(INDEX(productData[category],MATCH(BZ27,productData[sku],0)),"")</f>
        <v/>
      </c>
      <c r="CN27" s="303" t="str">
        <f>IFERROR(INDEX(productData[size1],MATCH(BZ27,productData[sku],0)),"")</f>
        <v/>
      </c>
      <c r="CO27" s="304" t="str">
        <f>IFERROR(INDEX(productData[hs_code],MATCH(BZ27,productData[sku],0)),"")</f>
        <v/>
      </c>
      <c r="CP27" s="357" t="str">
        <f>IFERROR(INDEX(productData[sku_geko],MATCH(BZ27,productData[sku],0)),"")</f>
        <v/>
      </c>
      <c r="CQ27" s="300"/>
      <c r="CR27" s="375" t="str">
        <f>IFERROR(IF(BZ27="","",IF($BX$15="SALE",INDEX(inventory[COSTO UNITARIO],MATCH(BZ27,inventory[SKU],0)),IF($BX$15="SAMPLING",INDEX(inventory[COSTO UNITARIO],MATCH(BZ27,inventory[SKU],0)),""))),"")</f>
        <v/>
      </c>
      <c r="CS27" s="375" t="str">
        <f t="shared" si="6"/>
        <v/>
      </c>
      <c r="CT27" s="422" t="str">
        <f t="shared" si="7"/>
        <v/>
      </c>
      <c r="CU27" s="349" t="str">
        <f t="shared" si="3"/>
        <v/>
      </c>
      <c r="CW27" s="97" t="s">
        <v>300</v>
      </c>
      <c r="CX27" s="269"/>
      <c r="CY27" s="269"/>
      <c r="CZ27" s="269"/>
      <c r="DB27" s="190"/>
      <c r="DH27" s="190"/>
      <c r="EE27" s="329" t="str">
        <f t="array" ref="EE27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/>
      </c>
      <c r="EF27" s="493" t="str">
        <f t="array" ref="EF27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/>
      </c>
      <c r="EG27" s="330" t="str">
        <f>IFERROR(IF('BHPC MANAGER'!$EE27="","",INDEX(inventory[ESISTENZA],MATCH('BHPC MANAGER'!$EE27,inventory[SKU],0))),0)</f>
        <v/>
      </c>
      <c r="EH27" s="331" t="s">
        <v>241</v>
      </c>
      <c r="EI27" s="331" t="str">
        <f t="shared" si="4"/>
        <v/>
      </c>
      <c r="EJ27" s="332" t="s">
        <v>241</v>
      </c>
      <c r="EK27" s="333" t="str">
        <f t="shared" si="5"/>
        <v/>
      </c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237"/>
      <c r="FW27" s="237"/>
      <c r="FX27" s="237"/>
      <c r="FY27" s="237"/>
      <c r="FZ27" s="237"/>
      <c r="GA27" s="237"/>
      <c r="GB27" s="237"/>
      <c r="GC27" s="237"/>
      <c r="GD27" s="237"/>
      <c r="GE27" s="237"/>
      <c r="GF27" s="237"/>
      <c r="GG27" s="237"/>
      <c r="GH27" s="237"/>
      <c r="GI27" s="237"/>
      <c r="GJ27" s="237"/>
      <c r="GK27" s="237"/>
      <c r="GL27" s="237"/>
      <c r="GM27" s="237"/>
      <c r="GN27" s="237"/>
      <c r="GO27" s="237"/>
      <c r="GP27" s="237"/>
      <c r="GQ27" s="237"/>
      <c r="GR27" s="237"/>
      <c r="GS27" s="237"/>
      <c r="GT27" s="237"/>
      <c r="GU27" s="237"/>
      <c r="GV27" s="237"/>
      <c r="GW27" s="237"/>
      <c r="GX27" s="237"/>
      <c r="GY27" s="237"/>
      <c r="GZ27" s="237"/>
      <c r="HA27" s="237"/>
      <c r="HB27" s="237"/>
      <c r="HC27" s="237"/>
      <c r="HD27" s="237"/>
      <c r="HE27" s="237"/>
      <c r="HF27" s="237"/>
      <c r="HG27" s="237"/>
      <c r="HH27" s="237"/>
      <c r="HI27" s="237"/>
      <c r="HJ27" s="237"/>
      <c r="HK27" s="237"/>
      <c r="HL27" s="237"/>
      <c r="HM27" s="237"/>
      <c r="HN27" s="237"/>
      <c r="HO27" s="237"/>
      <c r="HP27" s="237"/>
      <c r="HQ27" s="237"/>
      <c r="HR27" s="237"/>
      <c r="HS27" s="237"/>
      <c r="HT27" s="237"/>
    </row>
    <row r="28" spans="1:228" ht="15" customHeight="1" thickBot="1" x14ac:dyDescent="0.4">
      <c r="F28" s="82"/>
      <c r="G28" s="73"/>
      <c r="H28" s="74"/>
      <c r="L28" s="280" t="str">
        <f t="array" ref="L28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28" s="281" t="str">
        <f t="array" ref="M28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28" s="282" t="str">
        <f t="array" ref="N28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28" s="283" t="str">
        <f t="array" ref="O28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28" s="284" t="str">
        <f t="array" ref="P28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28" s="285" t="str">
        <f t="array" ref="Q28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28" s="286" t="str">
        <f t="array" ref="R28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28" s="345" t="str">
        <f t="array" ref="S28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28" s="287" t="str">
        <f t="array" ref="T28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28" s="282" t="str">
        <f t="array" ref="U28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28" s="287" t="str">
        <f t="array" ref="V28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28" s="384" t="str">
        <f t="array" ref="W28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28" s="270"/>
      <c r="AR28" s="444"/>
      <c r="AS28" s="447"/>
      <c r="AT28" s="448"/>
      <c r="BB28" s="718"/>
      <c r="BC28" s="718"/>
      <c r="BD28" s="718"/>
      <c r="BE28" s="718"/>
      <c r="BF28" s="718"/>
      <c r="BG28" s="718"/>
      <c r="BH28" s="718"/>
      <c r="BN28" s="425"/>
      <c r="BO28" s="263"/>
      <c r="BZ28" s="356"/>
      <c r="CA28" s="297" t="str">
        <f>IFERROR(IF(BZ28="","",INDEX(productData[description],MATCH(BZ28,productData[sku],0))),"")</f>
        <v/>
      </c>
      <c r="CB28" s="299"/>
      <c r="CC28" s="413"/>
      <c r="CD28" s="307"/>
      <c r="CE28" s="417"/>
      <c r="CF28" s="300"/>
      <c r="CG28" s="301" t="str">
        <f>IFERROR(ROUNDUP(CB28/INDEX(productData[units_per_carton],MATCH(BZ28,productData[sku],0)),0),"")</f>
        <v/>
      </c>
      <c r="CH28" s="302" t="str">
        <f>IFERROR(ROUNDUP(CD28/INDEX(productData[units_per_carton],MATCH(BZ28,productData[sku],0)),0),"")</f>
        <v/>
      </c>
      <c r="CI28" s="302" t="str">
        <f>IFERROR(ROUNDUP(CF28/INDEX(productData[units_per_carton],MATCH(BZ28,productData[sku])),0),"")</f>
        <v/>
      </c>
      <c r="CJ28" s="302" t="str">
        <f>IFERROR(((CB28+CD28+CF28)/INDEX(productData[units_per_carton],MATCH(BZ28,productData[sku],0)))*INDEX(productData[net_weight],MATCH(BZ28,productData[sku],0)),"")</f>
        <v/>
      </c>
      <c r="CK28" s="302" t="str">
        <f>IFERROR(((CB28+CD28+CF28)/INDEX(productData[units_per_carton],MATCH(BZ28,productData[sku],0)))*INDEX(productData[gross_weight],MATCH(BZ28,productData[sku],0)),"")</f>
        <v/>
      </c>
      <c r="CL28" s="406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03" t="str">
        <f>IFERROR(INDEX(productData[category],MATCH(BZ28,productData[sku],0)),"")</f>
        <v/>
      </c>
      <c r="CN28" s="303" t="str">
        <f>IFERROR(INDEX(productData[size1],MATCH(BZ28,productData[sku],0)),"")</f>
        <v/>
      </c>
      <c r="CO28" s="304" t="str">
        <f>IFERROR(INDEX(productData[hs_code],MATCH(BZ28,productData[sku],0)),"")</f>
        <v/>
      </c>
      <c r="CP28" s="357" t="str">
        <f>IFERROR(INDEX(productData[sku_geko],MATCH(BZ28,productData[sku],0)),"")</f>
        <v/>
      </c>
      <c r="CQ28" s="300"/>
      <c r="CR28" s="375" t="str">
        <f>IFERROR(IF(BZ28="","",IF($BX$15="SALE",INDEX(inventory[COSTO UNITARIO],MATCH(BZ28,inventory[SKU],0)),IF($BX$15="SAMPLING",INDEX(inventory[COSTO UNITARIO],MATCH(BZ28,inventory[SKU],0)),""))),"")</f>
        <v/>
      </c>
      <c r="CS28" s="375" t="str">
        <f t="shared" si="6"/>
        <v/>
      </c>
      <c r="CT28" s="422" t="str">
        <f t="shared" si="7"/>
        <v/>
      </c>
      <c r="CU28" s="349" t="str">
        <f t="shared" si="3"/>
        <v/>
      </c>
      <c r="CW28" s="75"/>
      <c r="CX28" s="71"/>
      <c r="CY28" s="71"/>
      <c r="CZ28" s="72"/>
      <c r="DB28" s="190"/>
      <c r="DH28" s="190"/>
      <c r="EE28" s="334" t="str">
        <f t="array" ref="EE28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/>
      </c>
      <c r="EF28" s="494" t="str">
        <f t="array" ref="EF28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/>
      </c>
      <c r="EG28" s="335" t="str">
        <f>IFERROR(IF('BHPC MANAGER'!$EE28="","",INDEX(inventory[ESISTENZA],MATCH('BHPC MANAGER'!$EE28,inventory[SKU],0))),0)</f>
        <v/>
      </c>
      <c r="EH28" s="336" t="s">
        <v>241</v>
      </c>
      <c r="EI28" s="336" t="str">
        <f t="shared" si="4"/>
        <v/>
      </c>
      <c r="EJ28" s="337" t="s">
        <v>241</v>
      </c>
      <c r="EK28" s="338" t="str">
        <f t="shared" si="5"/>
        <v/>
      </c>
      <c r="FF28" s="237"/>
      <c r="FG28" s="237"/>
      <c r="FH28" s="237"/>
      <c r="FI28" s="237"/>
      <c r="FJ28" s="237"/>
      <c r="FK28" s="237"/>
      <c r="FL28" s="237"/>
      <c r="FM28" s="237"/>
      <c r="FN28" s="237"/>
      <c r="FO28" s="237"/>
      <c r="FP28" s="237"/>
      <c r="FQ28" s="237"/>
      <c r="FR28" s="237"/>
      <c r="FS28" s="237"/>
      <c r="FT28" s="237"/>
      <c r="FU28" s="237"/>
      <c r="FV28" s="237"/>
      <c r="FW28" s="237"/>
      <c r="FX28" s="237"/>
      <c r="FY28" s="237"/>
      <c r="FZ28" s="237"/>
      <c r="GA28" s="237"/>
      <c r="GB28" s="237"/>
      <c r="GC28" s="237"/>
      <c r="GD28" s="237"/>
      <c r="GE28" s="237"/>
      <c r="GF28" s="237"/>
      <c r="GG28" s="237"/>
      <c r="GH28" s="237"/>
      <c r="GI28" s="237"/>
      <c r="GJ28" s="237"/>
      <c r="GK28" s="237"/>
      <c r="GL28" s="237"/>
      <c r="GM28" s="237"/>
      <c r="GN28" s="237"/>
      <c r="GO28" s="237"/>
      <c r="GP28" s="237"/>
      <c r="GQ28" s="237"/>
      <c r="GR28" s="237"/>
      <c r="GS28" s="237"/>
      <c r="GT28" s="237"/>
      <c r="GU28" s="237"/>
      <c r="GV28" s="237"/>
      <c r="GW28" s="237"/>
      <c r="GX28" s="237"/>
      <c r="GY28" s="237"/>
      <c r="GZ28" s="237"/>
      <c r="HA28" s="237"/>
      <c r="HB28" s="237"/>
      <c r="HC28" s="237"/>
      <c r="HD28" s="237"/>
      <c r="HE28" s="237"/>
      <c r="HF28" s="237"/>
      <c r="HG28" s="237"/>
      <c r="HH28" s="237"/>
      <c r="HI28" s="237"/>
      <c r="HJ28" s="237"/>
      <c r="HK28" s="237"/>
      <c r="HL28" s="237"/>
      <c r="HM28" s="237"/>
      <c r="HN28" s="237"/>
      <c r="HO28" s="237"/>
      <c r="HP28" s="237"/>
      <c r="HQ28" s="237"/>
      <c r="HR28" s="237"/>
      <c r="HS28" s="237"/>
      <c r="HT28" s="237"/>
    </row>
    <row r="29" spans="1:228" ht="15" customHeight="1" x14ac:dyDescent="0.35">
      <c r="L29" s="280" t="str">
        <f t="array" ref="L29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29" s="281" t="str">
        <f t="array" ref="M29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29" s="282" t="str">
        <f t="array" ref="N29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29" s="283" t="str">
        <f t="array" ref="O29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29" s="284" t="str">
        <f t="array" ref="P29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29" s="285" t="str">
        <f t="array" ref="Q29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29" s="286" t="str">
        <f t="array" ref="R29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29" s="345" t="str">
        <f t="array" ref="S29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29" s="287" t="str">
        <f t="array" ref="T29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29" s="282" t="str">
        <f t="array" ref="U29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29" s="287" t="str">
        <f t="array" ref="V29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29" s="384" t="str">
        <f t="array" ref="W29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29" s="270"/>
      <c r="AR29" s="444"/>
      <c r="AS29" s="449"/>
      <c r="AT29" s="450"/>
      <c r="AX29" s="716"/>
      <c r="AY29" s="716"/>
      <c r="BB29" s="718"/>
      <c r="BC29" s="718"/>
      <c r="BD29" s="718"/>
      <c r="BE29" s="718"/>
      <c r="BF29" s="718"/>
      <c r="BG29" s="718"/>
      <c r="BH29" s="718"/>
      <c r="BN29" s="425"/>
      <c r="BO29" s="263"/>
      <c r="BZ29" s="356"/>
      <c r="CA29" s="297" t="str">
        <f>IFERROR(IF(BZ29="","",INDEX(productData[description],MATCH(BZ29,productData[sku],0))),"")</f>
        <v/>
      </c>
      <c r="CB29" s="299"/>
      <c r="CC29" s="413"/>
      <c r="CD29" s="307"/>
      <c r="CE29" s="417"/>
      <c r="CF29" s="300"/>
      <c r="CG29" s="301" t="str">
        <f>IFERROR(ROUNDUP(CB29/INDEX(productData[units_per_carton],MATCH(BZ29,productData[sku],0)),0),"")</f>
        <v/>
      </c>
      <c r="CH29" s="302" t="str">
        <f>IFERROR(ROUNDUP(CD29/INDEX(productData[units_per_carton],MATCH(BZ29,productData[sku],0)),0),"")</f>
        <v/>
      </c>
      <c r="CI29" s="302" t="str">
        <f>IFERROR(ROUNDUP(CF29/INDEX(productData[units_per_carton],MATCH(BZ29,productData[sku])),0),"")</f>
        <v/>
      </c>
      <c r="CJ29" s="302" t="str">
        <f>IFERROR(((CB29+CD29+CF29)/INDEX(productData[units_per_carton],MATCH(BZ29,productData[sku],0)))*INDEX(productData[net_weight],MATCH(BZ29,productData[sku],0)),"")</f>
        <v/>
      </c>
      <c r="CK29" s="302" t="str">
        <f>IFERROR(((CB29+CD29+CF29)/INDEX(productData[units_per_carton],MATCH(BZ29,productData[sku],0)))*INDEX(productData[gross_weight],MATCH(BZ29,productData[sku],0)),"")</f>
        <v/>
      </c>
      <c r="CL29" s="406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03" t="str">
        <f>IFERROR(INDEX(productData[category],MATCH(BZ29,productData[sku],0)),"")</f>
        <v/>
      </c>
      <c r="CN29" s="303" t="str">
        <f>IFERROR(INDEX(productData[size1],MATCH(BZ29,productData[sku],0)),"")</f>
        <v/>
      </c>
      <c r="CO29" s="304" t="str">
        <f>IFERROR(INDEX(productData[hs_code],MATCH(BZ29,productData[sku],0)),"")</f>
        <v/>
      </c>
      <c r="CP29" s="357" t="str">
        <f>IFERROR(INDEX(productData[sku_geko],MATCH(BZ29,productData[sku],0)),"")</f>
        <v/>
      </c>
      <c r="CQ29" s="300"/>
      <c r="CR29" s="375" t="str">
        <f>IFERROR(IF(BZ29="","",IF($BX$15="SALE",INDEX(inventory[COSTO UNITARIO],MATCH(BZ29,inventory[SKU],0)),IF($BX$15="SAMPLING",INDEX(inventory[COSTO UNITARIO],MATCH(BZ29,inventory[SKU],0)),""))),"")</f>
        <v/>
      </c>
      <c r="CS29" s="375" t="str">
        <f t="shared" si="6"/>
        <v/>
      </c>
      <c r="CT29" s="422" t="str">
        <f t="shared" si="7"/>
        <v/>
      </c>
      <c r="CU29" s="349" t="str">
        <f t="shared" si="3"/>
        <v/>
      </c>
      <c r="CW29" s="75"/>
      <c r="CX29" s="464" t="s">
        <v>294</v>
      </c>
      <c r="CY29" s="465" t="e">
        <f>IF(INDEX(orderData[status],MATCH($BX$11,orderData[order_no],0))=0,"",INDEX(orderData[status],MATCH($BX$11,orderData[order_no],0)))</f>
        <v>#N/A</v>
      </c>
      <c r="CZ29" s="72"/>
      <c r="DB29" s="190"/>
      <c r="DH29" s="190"/>
      <c r="EE29" s="329" t="str">
        <f t="array" ref="EE29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/>
      </c>
      <c r="EF29" s="493" t="str">
        <f t="array" ref="EF29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/>
      </c>
      <c r="EG29" s="330" t="str">
        <f>IFERROR(IF('BHPC MANAGER'!$EE29="","",INDEX(inventory[ESISTENZA],MATCH('BHPC MANAGER'!$EE29,inventory[SKU],0))),0)</f>
        <v/>
      </c>
      <c r="EH29" s="331" t="s">
        <v>241</v>
      </c>
      <c r="EI29" s="331" t="str">
        <f t="shared" si="4"/>
        <v/>
      </c>
      <c r="EJ29" s="332" t="s">
        <v>241</v>
      </c>
      <c r="EK29" s="333" t="str">
        <f t="shared" si="5"/>
        <v/>
      </c>
      <c r="FF29" s="237"/>
      <c r="FG29" s="237"/>
      <c r="FH29" s="237"/>
      <c r="FI29" s="237"/>
      <c r="FJ29" s="237"/>
      <c r="FK29" s="237"/>
      <c r="FL29" s="237"/>
      <c r="FM29" s="237"/>
      <c r="FN29" s="237"/>
      <c r="FO29" s="237"/>
      <c r="FP29" s="237"/>
      <c r="FQ29" s="237"/>
      <c r="FR29" s="237"/>
      <c r="FS29" s="237"/>
      <c r="FT29" s="237"/>
      <c r="FU29" s="237"/>
      <c r="FV29" s="237"/>
      <c r="FW29" s="237"/>
      <c r="FX29" s="237"/>
      <c r="FY29" s="237"/>
      <c r="FZ29" s="237"/>
      <c r="GA29" s="237"/>
      <c r="GB29" s="237"/>
      <c r="GC29" s="237"/>
      <c r="GD29" s="237"/>
      <c r="GE29" s="237"/>
      <c r="GF29" s="237"/>
      <c r="GG29" s="237"/>
      <c r="GH29" s="237"/>
      <c r="GI29" s="237"/>
      <c r="GJ29" s="237"/>
      <c r="GK29" s="237"/>
      <c r="GL29" s="237"/>
      <c r="GM29" s="237"/>
      <c r="GN29" s="237"/>
      <c r="GO29" s="237"/>
      <c r="GP29" s="237"/>
      <c r="GQ29" s="237"/>
      <c r="GR29" s="237"/>
      <c r="GS29" s="237"/>
      <c r="GT29" s="237"/>
      <c r="GU29" s="237"/>
      <c r="GV29" s="237"/>
      <c r="GW29" s="237"/>
      <c r="GX29" s="237"/>
      <c r="GY29" s="237"/>
      <c r="GZ29" s="237"/>
      <c r="HA29" s="237"/>
      <c r="HB29" s="237"/>
      <c r="HC29" s="237"/>
      <c r="HD29" s="237"/>
      <c r="HE29" s="237"/>
      <c r="HF29" s="237"/>
      <c r="HG29" s="237"/>
      <c r="HH29" s="237"/>
      <c r="HI29" s="237"/>
      <c r="HJ29" s="237"/>
      <c r="HK29" s="237"/>
      <c r="HL29" s="237"/>
      <c r="HM29" s="237"/>
      <c r="HN29" s="237"/>
      <c r="HO29" s="237"/>
      <c r="HP29" s="237"/>
      <c r="HQ29" s="237"/>
      <c r="HR29" s="237"/>
      <c r="HS29" s="237"/>
      <c r="HT29" s="237"/>
    </row>
    <row r="30" spans="1:228" ht="15" customHeight="1" x14ac:dyDescent="0.35">
      <c r="L30" s="280" t="str">
        <f t="array" ref="L30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0" s="281" t="str">
        <f t="array" ref="M30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0" s="282" t="str">
        <f t="array" ref="N30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0" s="283" t="str">
        <f t="array" ref="O30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0" s="284" t="str">
        <f t="array" ref="P30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0" s="285" t="str">
        <f t="array" ref="Q30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0" s="286" t="str">
        <f t="array" ref="R30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0" s="345" t="str">
        <f t="array" ref="S30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0" s="287" t="str">
        <f t="array" ref="T30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0" s="282" t="str">
        <f t="array" ref="U30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0" s="287" t="str">
        <f t="array" ref="V30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0" s="384" t="str">
        <f t="array" ref="W30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AQ30" s="270"/>
      <c r="AR30" s="451"/>
      <c r="AS30" s="451"/>
      <c r="AT30" s="452"/>
      <c r="BB30" s="718"/>
      <c r="BC30" s="718"/>
      <c r="BD30" s="718"/>
      <c r="BE30" s="718"/>
      <c r="BF30" s="718"/>
      <c r="BG30" s="718"/>
      <c r="BH30" s="718"/>
      <c r="BN30" s="425"/>
      <c r="BO30" s="263"/>
      <c r="BZ30" s="356"/>
      <c r="CA30" s="297" t="str">
        <f>IFERROR(IF(BZ30="","",INDEX(productData[description],MATCH(BZ30,productData[sku],0))),"")</f>
        <v/>
      </c>
      <c r="CB30" s="299"/>
      <c r="CC30" s="412"/>
      <c r="CD30" s="307"/>
      <c r="CE30" s="417"/>
      <c r="CF30" s="300"/>
      <c r="CG30" s="301" t="str">
        <f>IFERROR(ROUNDUP(CB30/INDEX(productData[units_per_carton],MATCH(BZ30,productData[sku],0)),0),"")</f>
        <v/>
      </c>
      <c r="CH30" s="302" t="str">
        <f>IFERROR(ROUNDUP(CD30/INDEX(productData[units_per_carton],MATCH(BZ30,productData[sku],0)),0),"")</f>
        <v/>
      </c>
      <c r="CI30" s="302" t="str">
        <f>IFERROR(ROUNDUP(CF30/INDEX(productData[units_per_carton],MATCH(BZ30,productData[sku])),0),"")</f>
        <v/>
      </c>
      <c r="CJ30" s="302" t="str">
        <f>IFERROR(((CB30+CD30+CF30)/INDEX(productData[units_per_carton],MATCH(BZ30,productData[sku],0)))*INDEX(productData[net_weight],MATCH(BZ30,productData[sku],0)),"")</f>
        <v/>
      </c>
      <c r="CK30" s="302" t="str">
        <f>IFERROR(((CB30+CD30+CF30)/INDEX(productData[units_per_carton],MATCH(BZ30,productData[sku],0)))*INDEX(productData[gross_weight],MATCH(BZ30,productData[sku],0)),"")</f>
        <v/>
      </c>
      <c r="CL30" s="406" t="str">
        <f>IFERROR((CB30+CD30+CF30)/INDEX(productData[units_per_carton],MATCH(BZ30,productData[sku],0))*INDEX(productData[length],MATCH(BZ30,productData[sku],0))*INDEX(productData[width],MATCH(BZ30,productData[sku],0))*INDEX(productData[height],MATCH(BZ30,productData[sku],0))/1000000000,"")</f>
        <v/>
      </c>
      <c r="CM30" s="303" t="str">
        <f>IFERROR(INDEX(productData[category],MATCH(BZ30,productData[sku],0)),"")</f>
        <v/>
      </c>
      <c r="CN30" s="303" t="str">
        <f>IFERROR(INDEX(productData[size1],MATCH(BZ30,productData[sku],0)),"")</f>
        <v/>
      </c>
      <c r="CO30" s="304" t="str">
        <f>IFERROR(INDEX(productData[hs_code],MATCH(BZ30,productData[sku],0)),"")</f>
        <v/>
      </c>
      <c r="CP30" s="357" t="str">
        <f>IFERROR(INDEX(productData[sku_geko],MATCH(BZ30,productData[sku],0)),"")</f>
        <v/>
      </c>
      <c r="CQ30" s="300"/>
      <c r="CR30" s="375" t="str">
        <f>IFERROR(IF(BZ30="","",IF($BX$15="SALE",INDEX(inventory[COSTO UNITARIO],MATCH(BZ30,inventory[SKU],0)),IF($BX$15="SAMPLING",INDEX(inventory[COSTO UNITARIO],MATCH(BZ30,inventory[SKU],0)),""))),"")</f>
        <v/>
      </c>
      <c r="CS30" s="375" t="str">
        <f t="shared" si="6"/>
        <v/>
      </c>
      <c r="CT30" s="422" t="str">
        <f t="shared" si="7"/>
        <v/>
      </c>
      <c r="CU30" s="349" t="str">
        <f t="shared" si="3"/>
        <v/>
      </c>
      <c r="CW30" s="75"/>
      <c r="CX30" s="464" t="s">
        <v>301</v>
      </c>
      <c r="CY30" s="465" t="e">
        <f>IF(INDEX(orderData[produced],MATCH($BX$11,orderData[order_no],0))=0,"",INDEX(orderData[produced],MATCH($BX$11,orderData[order_no],0)))</f>
        <v>#N/A</v>
      </c>
      <c r="CZ30" s="72"/>
      <c r="DB30" s="190"/>
      <c r="DH30" s="190"/>
      <c r="EE30" s="334" t="str">
        <f t="array" ref="EE30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/>
      </c>
      <c r="EF30" s="494" t="str">
        <f t="array" ref="EF30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/>
      </c>
      <c r="EG30" s="335" t="str">
        <f>IFERROR(IF('BHPC MANAGER'!$EE30="","",INDEX(inventory[ESISTENZA],MATCH('BHPC MANAGER'!$EE30,inventory[SKU],0))),0)</f>
        <v/>
      </c>
      <c r="EH30" s="336" t="s">
        <v>241</v>
      </c>
      <c r="EI30" s="336" t="str">
        <f t="shared" si="4"/>
        <v/>
      </c>
      <c r="EJ30" s="337" t="s">
        <v>241</v>
      </c>
      <c r="EK30" s="338" t="str">
        <f t="shared" si="5"/>
        <v/>
      </c>
      <c r="FF30" s="237"/>
      <c r="FG30" s="237"/>
      <c r="FH30" s="237"/>
      <c r="FI30" s="237"/>
      <c r="FJ30" s="237"/>
      <c r="FK30" s="237"/>
      <c r="FL30" s="237"/>
      <c r="FM30" s="237"/>
      <c r="FN30" s="237"/>
      <c r="FO30" s="237"/>
      <c r="FP30" s="237"/>
      <c r="FQ30" s="237"/>
      <c r="FR30" s="237"/>
      <c r="FS30" s="237"/>
      <c r="FT30" s="237"/>
      <c r="FU30" s="237"/>
      <c r="FV30" s="237"/>
      <c r="FW30" s="237"/>
      <c r="FX30" s="237"/>
      <c r="FY30" s="237"/>
      <c r="FZ30" s="237"/>
      <c r="GA30" s="237"/>
      <c r="GB30" s="237"/>
      <c r="GC30" s="237"/>
      <c r="GD30" s="237"/>
      <c r="GE30" s="237"/>
      <c r="GF30" s="237"/>
      <c r="GG30" s="237"/>
      <c r="GH30" s="237"/>
      <c r="GI30" s="237"/>
      <c r="GJ30" s="237"/>
      <c r="GK30" s="237"/>
      <c r="GL30" s="237"/>
      <c r="GM30" s="237"/>
      <c r="GN30" s="237"/>
      <c r="GO30" s="237"/>
      <c r="GP30" s="237"/>
      <c r="GQ30" s="237"/>
      <c r="GR30" s="237"/>
      <c r="GS30" s="237"/>
      <c r="GT30" s="237"/>
      <c r="GU30" s="237"/>
      <c r="GV30" s="237"/>
      <c r="GW30" s="237"/>
      <c r="GX30" s="237"/>
      <c r="GY30" s="237"/>
      <c r="GZ30" s="237"/>
      <c r="HA30" s="237"/>
      <c r="HB30" s="237"/>
      <c r="HC30" s="237"/>
      <c r="HD30" s="237"/>
      <c r="HE30" s="237"/>
      <c r="HF30" s="237"/>
      <c r="HG30" s="237"/>
      <c r="HH30" s="237"/>
      <c r="HI30" s="237"/>
      <c r="HJ30" s="237"/>
      <c r="HK30" s="237"/>
      <c r="HL30" s="237"/>
      <c r="HM30" s="237"/>
      <c r="HN30" s="237"/>
      <c r="HO30" s="237"/>
      <c r="HP30" s="237"/>
      <c r="HQ30" s="237"/>
      <c r="HR30" s="237"/>
      <c r="HS30" s="237"/>
      <c r="HT30" s="237"/>
    </row>
    <row r="31" spans="1:228" ht="15" customHeight="1" x14ac:dyDescent="0.35">
      <c r="L31" s="280" t="str">
        <f t="array" ref="L31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1" s="281" t="str">
        <f t="array" ref="M31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1" s="282" t="str">
        <f t="array" ref="N31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1" s="283" t="str">
        <f t="array" ref="O31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1" s="284" t="str">
        <f t="array" ref="P31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1" s="285" t="str">
        <f t="array" ref="Q31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1" s="286" t="str">
        <f t="array" ref="R31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1" s="345" t="str">
        <f t="array" ref="S31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1" s="287" t="str">
        <f t="array" ref="T31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1" s="282" t="str">
        <f t="array" ref="U31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1" s="287" t="str">
        <f t="array" ref="V31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1" s="384" t="str">
        <f t="array" ref="W31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1" s="270"/>
      <c r="AR31" s="451"/>
      <c r="AS31" s="270"/>
      <c r="AT31" s="453"/>
      <c r="BA31" s="270"/>
      <c r="BB31" s="723"/>
      <c r="BC31" s="723"/>
      <c r="BD31" s="723"/>
      <c r="BF31" s="238"/>
      <c r="BN31" s="425"/>
      <c r="BO31" s="263"/>
      <c r="BZ31" s="356"/>
      <c r="CA31" s="297" t="str">
        <f>IFERROR(IF(BZ31="","",INDEX(productData[description],MATCH(BZ31,productData[sku],0))),"")</f>
        <v/>
      </c>
      <c r="CB31" s="471"/>
      <c r="CC31" s="412"/>
      <c r="CD31" s="307"/>
      <c r="CE31" s="417"/>
      <c r="CF31" s="300"/>
      <c r="CG31" s="301" t="str">
        <f>IFERROR(ROUNDUP(CB31/INDEX(productData[units_per_carton],MATCH(BZ31,productData[sku],0)),0),"")</f>
        <v/>
      </c>
      <c r="CH31" s="302" t="str">
        <f>IFERROR(ROUNDUP(CD31/INDEX(productData[units_per_carton],MATCH(BZ31,productData[sku],0)),0),"")</f>
        <v/>
      </c>
      <c r="CI31" s="302" t="str">
        <f>IFERROR(ROUNDUP(CF31/INDEX(productData[units_per_carton],MATCH(BZ31,productData[sku])),0),"")</f>
        <v/>
      </c>
      <c r="CJ31" s="302" t="str">
        <f>IFERROR(((CB31+CD31+CF31)/INDEX(productData[units_per_carton],MATCH(BZ31,productData[sku],0)))*INDEX(productData[net_weight],MATCH(BZ31,productData[sku],0)),"")</f>
        <v/>
      </c>
      <c r="CK31" s="302" t="str">
        <f>IFERROR(((CB31+CD31+CF31)/INDEX(productData[units_per_carton],MATCH(BZ31,productData[sku],0)))*INDEX(productData[gross_weight],MATCH(BZ31,productData[sku],0)),"")</f>
        <v/>
      </c>
      <c r="CL31" s="406" t="str">
        <f>IFERROR((CB31+CD31+CF31)/INDEX(productData[units_per_carton],MATCH(BZ31,productData[sku],0))*INDEX(productData[length],MATCH(BZ31,productData[sku],0))*INDEX(productData[width],MATCH(BZ31,productData[sku],0))*INDEX(productData[height],MATCH(BZ31,productData[sku],0))/1000000000,"")</f>
        <v/>
      </c>
      <c r="CM31" s="303" t="str">
        <f>IFERROR(INDEX(productData[category],MATCH(BZ31,productData[sku],0)),"")</f>
        <v/>
      </c>
      <c r="CN31" s="303" t="str">
        <f>IFERROR(INDEX(productData[size1],MATCH(BZ31,productData[sku],0)),"")</f>
        <v/>
      </c>
      <c r="CO31" s="304" t="str">
        <f>IFERROR(INDEX(productData[hs_code],MATCH(BZ31,productData[sku],0)),"")</f>
        <v/>
      </c>
      <c r="CP31" s="357" t="str">
        <f>IFERROR(INDEX(productData[sku_geko],MATCH(BZ31,productData[sku],0)),"")</f>
        <v/>
      </c>
      <c r="CQ31" s="300"/>
      <c r="CR31" s="375" t="str">
        <f>IFERROR(IF(BZ31="","",IF($BX$15="SALE",INDEX(inventory[COSTO UNITARIO],MATCH(BZ31,inventory[SKU],0)),IF($BX$15="SAMPLING",INDEX(inventory[COSTO UNITARIO],MATCH(BZ31,inventory[SKU],0)),""))),"")</f>
        <v/>
      </c>
      <c r="CS31" s="375" t="str">
        <f t="shared" si="6"/>
        <v/>
      </c>
      <c r="CT31" s="422" t="str">
        <f t="shared" si="7"/>
        <v/>
      </c>
      <c r="CU31" s="349" t="str">
        <f t="shared" si="3"/>
        <v/>
      </c>
      <c r="CW31" s="75"/>
      <c r="CX31" s="464" t="s">
        <v>302</v>
      </c>
      <c r="CY31" s="465" t="e">
        <f>IF(INDEX(orderData[production_no],MATCH($BX$11,orderData[order_no],0))=0,"",INDEX(orderData[production_no],MATCH($BX$11,orderData[order_no],0)))</f>
        <v>#N/A</v>
      </c>
      <c r="CZ31" s="72"/>
      <c r="DB31" s="190"/>
      <c r="DH31" s="190"/>
      <c r="EE31" s="329" t="str">
        <f t="array" ref="EE31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/>
      </c>
      <c r="EF31" s="493" t="str">
        <f t="array" ref="EF31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/>
      </c>
      <c r="EG31" s="330" t="str">
        <f>IFERROR(IF('BHPC MANAGER'!$EE31="","",INDEX(inventory[ESISTENZA],MATCH('BHPC MANAGER'!$EE31,inventory[SKU],0))),0)</f>
        <v/>
      </c>
      <c r="EH31" s="331" t="s">
        <v>241</v>
      </c>
      <c r="EI31" s="331" t="str">
        <f t="shared" si="4"/>
        <v/>
      </c>
      <c r="EJ31" s="332" t="s">
        <v>241</v>
      </c>
      <c r="EK31" s="333" t="str">
        <f t="shared" si="5"/>
        <v/>
      </c>
      <c r="FF31" s="237"/>
      <c r="FG31" s="237"/>
      <c r="FH31" s="237"/>
      <c r="FI31" s="237"/>
      <c r="FJ31" s="237"/>
      <c r="FK31" s="237"/>
      <c r="FL31" s="237"/>
      <c r="FM31" s="237"/>
      <c r="FN31" s="237"/>
      <c r="FO31" s="237"/>
      <c r="FP31" s="237"/>
      <c r="FQ31" s="237"/>
      <c r="FR31" s="237"/>
      <c r="FS31" s="237"/>
      <c r="FT31" s="237"/>
      <c r="FU31" s="237"/>
      <c r="FV31" s="237"/>
      <c r="FW31" s="237"/>
      <c r="FX31" s="237"/>
      <c r="FY31" s="237"/>
      <c r="FZ31" s="237"/>
      <c r="GA31" s="237"/>
      <c r="GB31" s="237"/>
      <c r="GC31" s="237"/>
      <c r="GD31" s="237"/>
      <c r="GE31" s="237"/>
      <c r="GF31" s="237"/>
      <c r="GG31" s="237"/>
      <c r="GH31" s="237"/>
      <c r="GI31" s="237"/>
      <c r="GJ31" s="237"/>
      <c r="GK31" s="237"/>
      <c r="GL31" s="237"/>
      <c r="GM31" s="237"/>
      <c r="GN31" s="237"/>
      <c r="GO31" s="237"/>
      <c r="GP31" s="237"/>
      <c r="GQ31" s="237"/>
      <c r="GR31" s="237"/>
      <c r="GS31" s="237"/>
      <c r="GT31" s="237"/>
      <c r="GU31" s="237"/>
      <c r="GV31" s="237"/>
      <c r="GW31" s="237"/>
      <c r="GX31" s="237"/>
      <c r="GY31" s="237"/>
      <c r="GZ31" s="237"/>
      <c r="HA31" s="237"/>
      <c r="HB31" s="237"/>
      <c r="HC31" s="237"/>
      <c r="HD31" s="237"/>
      <c r="HE31" s="237"/>
      <c r="HF31" s="237"/>
      <c r="HG31" s="237"/>
      <c r="HH31" s="237"/>
      <c r="HI31" s="237"/>
      <c r="HJ31" s="237"/>
      <c r="HK31" s="237"/>
      <c r="HL31" s="237"/>
      <c r="HM31" s="237"/>
      <c r="HN31" s="237"/>
      <c r="HO31" s="237"/>
      <c r="HP31" s="237"/>
      <c r="HQ31" s="237"/>
      <c r="HR31" s="237"/>
      <c r="HS31" s="237"/>
      <c r="HT31" s="237"/>
    </row>
    <row r="32" spans="1:228" ht="15" customHeight="1" x14ac:dyDescent="0.35">
      <c r="L32" s="280" t="str">
        <f t="array" ref="L32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2" s="281" t="str">
        <f t="array" ref="M32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2" s="282" t="str">
        <f t="array" ref="N32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2" s="283" t="str">
        <f t="array" ref="O32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2" s="284" t="str">
        <f t="array" ref="P32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2" s="285" t="str">
        <f t="array" ref="Q32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2" s="286" t="str">
        <f t="array" ref="R32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2" s="345" t="str">
        <f t="array" ref="S32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2" s="287" t="str">
        <f t="array" ref="T32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2" s="282" t="str">
        <f t="array" ref="U32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2" s="287" t="str">
        <f t="array" ref="V32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2" s="384" t="str">
        <f t="array" ref="W32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X32" s="190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190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190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70"/>
      <c r="AR32" s="451"/>
      <c r="AS32" s="451"/>
      <c r="AT32" s="454"/>
      <c r="AX32" s="455"/>
      <c r="BA32" s="270"/>
      <c r="BB32" s="722"/>
      <c r="BC32" s="722"/>
      <c r="BD32" s="722"/>
      <c r="BF32" s="456"/>
      <c r="BN32" s="425"/>
      <c r="BO32" s="263"/>
      <c r="BZ32" s="411"/>
      <c r="CA32" s="297" t="str">
        <f>IFERROR(IF(BZ32="","",INDEX(productData[description],MATCH(BZ32,productData[sku],0))),"")</f>
        <v/>
      </c>
      <c r="CB32" s="298"/>
      <c r="CC32" s="413"/>
      <c r="CD32" s="307"/>
      <c r="CE32" s="417"/>
      <c r="CF32" s="300"/>
      <c r="CG32" s="301" t="str">
        <f>IFERROR(ROUNDUP(CB32/INDEX(productData[units_per_carton],MATCH(BZ32,productData[sku],0)),0),"")</f>
        <v/>
      </c>
      <c r="CH32" s="302" t="str">
        <f>IFERROR(ROUNDUP(CD32/INDEX(productData[units_per_carton],MATCH(BZ32,productData[sku],0)),0),"")</f>
        <v/>
      </c>
      <c r="CI32" s="302" t="str">
        <f>IFERROR(ROUNDUP(CF32/INDEX(productData[units_per_carton],MATCH(BZ32,productData[sku])),0),"")</f>
        <v/>
      </c>
      <c r="CJ32" s="302" t="str">
        <f>IFERROR(((CB32+CD32+CF32)/INDEX(productData[units_per_carton],MATCH(BZ32,productData[sku],0)))*INDEX(productData[net_weight],MATCH(BZ32,productData[sku],0)),"")</f>
        <v/>
      </c>
      <c r="CK32" s="302" t="str">
        <f>IFERROR(((CB32+CD32+CF32)/INDEX(productData[units_per_carton],MATCH(BZ32,productData[sku],0)))*INDEX(productData[gross_weight],MATCH(BZ32,productData[sku],0)),"")</f>
        <v/>
      </c>
      <c r="CL32" s="406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03" t="str">
        <f>IFERROR(INDEX(productData[category],MATCH(BZ32,productData[sku],0)),"")</f>
        <v/>
      </c>
      <c r="CN32" s="303" t="str">
        <f>IFERROR(INDEX(productData[size1],MATCH(BZ32,productData[sku],0)),"")</f>
        <v/>
      </c>
      <c r="CO32" s="304" t="str">
        <f>IFERROR(INDEX(productData[hs_code],MATCH(BZ32,productData[sku],0)),"")</f>
        <v/>
      </c>
      <c r="CP32" s="357" t="str">
        <f>IFERROR(INDEX(productData[sku_geko],MATCH(BZ32,productData[sku],0)),"")</f>
        <v/>
      </c>
      <c r="CQ32" s="300"/>
      <c r="CR32" s="375" t="str">
        <f>IFERROR(IF(BZ32="","",IF($BX$15="SALE",INDEX(inventory[COSTO UNITARIO],MATCH(BZ32,inventory[SKU],0)),IF($BX$15="SAMPLING",INDEX(inventory[COSTO UNITARIO],MATCH(BZ32,inventory[SKU],0)),""))),"")</f>
        <v/>
      </c>
      <c r="CS32" s="375" t="str">
        <f t="shared" si="6"/>
        <v/>
      </c>
      <c r="CT32" s="422" t="str">
        <f t="shared" si="7"/>
        <v/>
      </c>
      <c r="CU32" s="349" t="str">
        <f t="shared" si="3"/>
        <v/>
      </c>
      <c r="CW32" s="75"/>
      <c r="CX32" s="464" t="s">
        <v>303</v>
      </c>
      <c r="CY32" s="465" t="e">
        <f>IF(INDEX(orderData[lock_goods],MATCH($BX$11,orderData[order_no],0))=0,"",INDEX(orderData[lock_goods],MATCH($BX$11,orderData[order_no],0)))</f>
        <v>#N/A</v>
      </c>
      <c r="CZ32" s="72"/>
      <c r="DB32" s="190"/>
      <c r="DH32" s="190"/>
      <c r="EE32" s="334" t="str">
        <f t="array" ref="EE32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/>
      </c>
      <c r="EF32" s="494" t="str">
        <f t="array" ref="EF32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/>
      </c>
      <c r="EG32" s="335" t="str">
        <f>IFERROR(IF('BHPC MANAGER'!$EE32="","",INDEX(inventory[ESISTENZA],MATCH('BHPC MANAGER'!$EE32,inventory[SKU],0))),0)</f>
        <v/>
      </c>
      <c r="EH32" s="336" t="s">
        <v>241</v>
      </c>
      <c r="EI32" s="336" t="str">
        <f t="shared" si="4"/>
        <v/>
      </c>
      <c r="EJ32" s="337" t="s">
        <v>241</v>
      </c>
      <c r="EK32" s="338" t="str">
        <f t="shared" si="5"/>
        <v/>
      </c>
      <c r="FF32" s="237"/>
      <c r="FG32" s="237"/>
      <c r="FH32" s="237"/>
      <c r="FI32" s="237"/>
      <c r="FJ32" s="237"/>
      <c r="FK32" s="237"/>
      <c r="FL32" s="237"/>
      <c r="FM32" s="237"/>
      <c r="FN32" s="237"/>
      <c r="FO32" s="237"/>
      <c r="FP32" s="237"/>
      <c r="FQ32" s="237"/>
      <c r="FR32" s="237"/>
      <c r="FS32" s="237"/>
      <c r="FT32" s="237"/>
      <c r="FU32" s="237"/>
      <c r="FV32" s="237"/>
      <c r="FW32" s="237"/>
      <c r="FX32" s="237"/>
      <c r="FY32" s="237"/>
      <c r="FZ32" s="237"/>
      <c r="GA32" s="237"/>
      <c r="GB32" s="237"/>
      <c r="GC32" s="237"/>
      <c r="GD32" s="237"/>
      <c r="GE32" s="237"/>
      <c r="GF32" s="237"/>
      <c r="GG32" s="237"/>
      <c r="GH32" s="237"/>
      <c r="GI32" s="237"/>
      <c r="GJ32" s="237"/>
      <c r="GK32" s="237"/>
      <c r="GL32" s="237"/>
      <c r="GM32" s="237"/>
      <c r="GN32" s="237"/>
      <c r="GO32" s="237"/>
      <c r="GP32" s="237"/>
      <c r="GQ32" s="237"/>
      <c r="GR32" s="237"/>
      <c r="GS32" s="237"/>
      <c r="GT32" s="237"/>
      <c r="GU32" s="237"/>
      <c r="GV32" s="237"/>
      <c r="GW32" s="237"/>
      <c r="GX32" s="237"/>
      <c r="GY32" s="237"/>
      <c r="GZ32" s="237"/>
      <c r="HA32" s="237"/>
      <c r="HB32" s="237"/>
      <c r="HC32" s="237"/>
      <c r="HD32" s="237"/>
      <c r="HE32" s="237"/>
      <c r="HF32" s="237"/>
      <c r="HG32" s="237"/>
      <c r="HH32" s="237"/>
      <c r="HI32" s="237"/>
      <c r="HJ32" s="237"/>
      <c r="HK32" s="237"/>
      <c r="HL32" s="237"/>
      <c r="HM32" s="237"/>
      <c r="HN32" s="237"/>
      <c r="HO32" s="237"/>
      <c r="HP32" s="237"/>
      <c r="HQ32" s="237"/>
      <c r="HR32" s="237"/>
      <c r="HS32" s="237"/>
      <c r="HT32" s="237"/>
    </row>
    <row r="33" spans="10:228" ht="15" customHeight="1" thickBot="1" x14ac:dyDescent="0.4">
      <c r="L33" s="280" t="str">
        <f t="array" ref="L33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3" s="281" t="str">
        <f t="array" ref="M33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3" s="282" t="str">
        <f t="array" ref="N33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3" s="283" t="str">
        <f t="array" ref="O33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3" s="284" t="str">
        <f t="array" ref="P33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3" s="285" t="str">
        <f t="array" ref="Q33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3" s="286" t="str">
        <f t="array" ref="R33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3" s="345" t="str">
        <f t="array" ref="S33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3" s="287" t="str">
        <f t="array" ref="T33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3" s="282" t="str">
        <f t="array" ref="U33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3" s="287" t="str">
        <f t="array" ref="V33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3" s="384" t="str">
        <f t="array" ref="W33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3" s="270"/>
      <c r="AR33" s="717"/>
      <c r="AS33" s="717"/>
      <c r="AT33" s="717"/>
      <c r="BN33" s="425"/>
      <c r="BO33" s="263"/>
      <c r="BX33" s="274"/>
      <c r="BZ33" s="356"/>
      <c r="CA33" s="297" t="str">
        <f>IFERROR(IF(BZ33="","",INDEX(productData[description],MATCH(BZ33,productData[sku],0))),"")</f>
        <v/>
      </c>
      <c r="CB33" s="299"/>
      <c r="CC33" s="414"/>
      <c r="CD33" s="353"/>
      <c r="CE33" s="419"/>
      <c r="CF33" s="319"/>
      <c r="CG33" s="320" t="str">
        <f>IFERROR(ROUNDUP(CB33/INDEX(productData[units_per_carton],MATCH(BZ33,productData[sku],0)),0),"")</f>
        <v/>
      </c>
      <c r="CH33" s="321" t="str">
        <f>IFERROR(ROUNDUP(CD33/INDEX(productData[units_per_carton],MATCH(BZ33,productData[sku],0)),0),"")</f>
        <v/>
      </c>
      <c r="CI33" s="321" t="str">
        <f>IFERROR(ROUNDUP(CF33/INDEX(productData[units_per_carton],MATCH(BZ33,productData[sku])),0),"")</f>
        <v/>
      </c>
      <c r="CJ33" s="321" t="str">
        <f>IFERROR(((CB33+CD33+CF33)/INDEX(productData[units_per_carton],MATCH(BZ33,productData[sku],0)))*INDEX(productData[net_weight],MATCH(BZ33,productData[sku],0)),"")</f>
        <v/>
      </c>
      <c r="CK33" s="321" t="str">
        <f>IFERROR(((CB33+CD33+CF33)/INDEX(productData[units_per_carton],MATCH(BZ33,productData[sku],0)))*INDEX(productData[gross_weight],MATCH(BZ33,productData[sku],0)),"")</f>
        <v/>
      </c>
      <c r="CL33" s="407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22" t="str">
        <f>IFERROR(INDEX(productData[category],MATCH(BZ33,productData[sku],0)),"")</f>
        <v/>
      </c>
      <c r="CN33" s="322" t="str">
        <f>IFERROR(INDEX(productData[size1],MATCH(BZ33,productData[sku],0)),"")</f>
        <v/>
      </c>
      <c r="CO33" s="323" t="str">
        <f>IFERROR(INDEX(productData[hs_code],MATCH(BZ33,productData[sku],0)),"")</f>
        <v/>
      </c>
      <c r="CP33" s="357" t="str">
        <f>IFERROR(INDEX(productData[sku_geko],MATCH(BZ33,productData[sku],0)),"")</f>
        <v/>
      </c>
      <c r="CQ33" s="319"/>
      <c r="CR33" s="375" t="str">
        <f>IFERROR(IF(BZ33="","",IF($BX$15="SALE",INDEX(inventory[COSTO UNITARIO],MATCH(BZ33,inventory[SKU],0)),IF($BX$15="SAMPLING",INDEX(inventory[COSTO UNITARIO],MATCH(BZ33,inventory[SKU],0)),""))),"")</f>
        <v/>
      </c>
      <c r="CS33" s="375" t="str">
        <f t="shared" si="6"/>
        <v/>
      </c>
      <c r="CT33" s="422" t="str">
        <f t="shared" si="7"/>
        <v/>
      </c>
      <c r="CU33" s="349" t="str">
        <f t="shared" si="3"/>
        <v/>
      </c>
      <c r="CW33" s="84"/>
      <c r="CX33" s="73"/>
      <c r="CY33" s="73"/>
      <c r="CZ33" s="74"/>
      <c r="DB33" s="190"/>
      <c r="DH33" s="190"/>
      <c r="EE33" s="329" t="str">
        <f t="array" ref="EE33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/>
      </c>
      <c r="EF33" s="493" t="str">
        <f t="array" ref="EF33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/>
      </c>
      <c r="EG33" s="330" t="str">
        <f>IFERROR(IF('BHPC MANAGER'!$EE33="","",INDEX(inventory[ESISTENZA],MATCH('BHPC MANAGER'!$EE33,inventory[SKU],0))),0)</f>
        <v/>
      </c>
      <c r="EH33" s="331" t="s">
        <v>241</v>
      </c>
      <c r="EI33" s="331" t="str">
        <f t="shared" si="4"/>
        <v/>
      </c>
      <c r="EJ33" s="332" t="s">
        <v>241</v>
      </c>
      <c r="EK33" s="333" t="str">
        <f t="shared" si="5"/>
        <v/>
      </c>
      <c r="FF33" s="237"/>
      <c r="FG33" s="237"/>
      <c r="FH33" s="237"/>
      <c r="FI33" s="237"/>
      <c r="FJ33" s="237"/>
      <c r="FK33" s="237"/>
      <c r="FL33" s="237"/>
      <c r="FM33" s="237"/>
      <c r="FN33" s="237"/>
      <c r="FO33" s="237"/>
      <c r="FP33" s="237"/>
      <c r="FQ33" s="237"/>
      <c r="FR33" s="237"/>
      <c r="FS33" s="237"/>
      <c r="FT33" s="237"/>
      <c r="FU33" s="237"/>
      <c r="FV33" s="237"/>
      <c r="FW33" s="237"/>
      <c r="FX33" s="237"/>
      <c r="FY33" s="237"/>
      <c r="FZ33" s="237"/>
      <c r="GA33" s="237"/>
      <c r="GB33" s="237"/>
      <c r="GC33" s="237"/>
      <c r="GD33" s="237"/>
      <c r="GE33" s="237"/>
      <c r="GF33" s="237"/>
      <c r="GG33" s="237"/>
      <c r="GH33" s="237"/>
      <c r="GI33" s="237"/>
      <c r="GJ33" s="237"/>
      <c r="GK33" s="237"/>
      <c r="GL33" s="237"/>
      <c r="GM33" s="237"/>
      <c r="GN33" s="237"/>
      <c r="GO33" s="237"/>
      <c r="GP33" s="237"/>
      <c r="GQ33" s="237"/>
      <c r="GR33" s="237"/>
      <c r="GS33" s="237"/>
      <c r="GT33" s="237"/>
      <c r="GU33" s="237"/>
      <c r="GV33" s="237"/>
      <c r="GW33" s="237"/>
      <c r="GX33" s="237"/>
      <c r="GY33" s="237"/>
      <c r="GZ33" s="237"/>
      <c r="HA33" s="237"/>
      <c r="HB33" s="237"/>
      <c r="HC33" s="237"/>
      <c r="HD33" s="237"/>
      <c r="HE33" s="237"/>
      <c r="HF33" s="237"/>
      <c r="HG33" s="237"/>
      <c r="HH33" s="237"/>
      <c r="HI33" s="237"/>
      <c r="HJ33" s="237"/>
      <c r="HK33" s="237"/>
      <c r="HL33" s="237"/>
      <c r="HM33" s="237"/>
      <c r="HN33" s="237"/>
      <c r="HO33" s="237"/>
      <c r="HP33" s="237"/>
      <c r="HQ33" s="237"/>
      <c r="HR33" s="237"/>
      <c r="HS33" s="237"/>
      <c r="HT33" s="237"/>
    </row>
    <row r="34" spans="10:228" ht="15" customHeight="1" x14ac:dyDescent="0.35">
      <c r="L34" s="280" t="str">
        <f t="array" ref="L34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4" s="281" t="str">
        <f t="array" ref="M34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4" s="282" t="str">
        <f t="array" ref="N34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4" s="283" t="str">
        <f t="array" ref="O34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4" s="284" t="str">
        <f t="array" ref="P34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4" s="285" t="str">
        <f t="array" ref="Q34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4" s="286" t="str">
        <f t="array" ref="R34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4" s="345" t="str">
        <f t="array" ref="S34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4" s="287" t="str">
        <f t="array" ref="T34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4" s="282" t="str">
        <f t="array" ref="U34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4" s="287" t="str">
        <f t="array" ref="V34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4" s="384" t="str">
        <f t="array" ref="W34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4" s="270"/>
      <c r="AR34" s="717"/>
      <c r="AS34" s="717"/>
      <c r="AT34" s="717"/>
      <c r="BN34" s="425"/>
      <c r="BO34" s="263"/>
      <c r="BX34" s="274"/>
      <c r="BZ34" s="411"/>
      <c r="CA34" s="297" t="str">
        <f>IFERROR(IF(BZ34="","",INDEX(productData[description],MATCH(BZ34,productData[sku],0))),"")</f>
        <v/>
      </c>
      <c r="CB34" s="299"/>
      <c r="CC34" s="414"/>
      <c r="CD34" s="305"/>
      <c r="CE34" s="417"/>
      <c r="CF34" s="300"/>
      <c r="CG34" s="301" t="str">
        <f>IFERROR(ROUNDUP(CB34/INDEX(productData[units_per_carton],MATCH(BZ34,productData[sku],0)),0),"")</f>
        <v/>
      </c>
      <c r="CH34" s="302" t="str">
        <f>IFERROR(ROUNDUP(CD34/INDEX(productData[units_per_carton],MATCH(BZ34,productData[sku],0)),0),"")</f>
        <v/>
      </c>
      <c r="CI34" s="302" t="str">
        <f>IFERROR(ROUNDUP(CF34/INDEX(productData[units_per_carton],MATCH(BZ34,productData[sku])),0),"")</f>
        <v/>
      </c>
      <c r="CJ34" s="302" t="str">
        <f>IFERROR(((CB34+CD34+CF34)/INDEX(productData[units_per_carton],MATCH(BZ34,productData[sku],0)))*INDEX(productData[net_weight],MATCH(BZ34,productData[sku],0)),"")</f>
        <v/>
      </c>
      <c r="CK34" s="302" t="str">
        <f>IFERROR(((CB34+CD34+CF34)/INDEX(productData[units_per_carton],MATCH(BZ34,productData[sku],0)))*INDEX(productData[gross_weight],MATCH(BZ34,productData[sku],0)),"")</f>
        <v/>
      </c>
      <c r="CL34" s="406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03" t="str">
        <f>IFERROR(INDEX(productData[category],MATCH(BZ34,productData[sku],0)),"")</f>
        <v/>
      </c>
      <c r="CN34" s="303" t="str">
        <f>IFERROR(INDEX(productData[size1],MATCH(BZ34,productData[sku],0)),"")</f>
        <v/>
      </c>
      <c r="CO34" s="304" t="str">
        <f>IFERROR(INDEX(productData[hs_code],MATCH(BZ34,productData[sku],0)),"")</f>
        <v/>
      </c>
      <c r="CP34" s="357" t="str">
        <f>IFERROR(INDEX(productData[sku_geko],MATCH(BZ34,productData[sku],0)),"")</f>
        <v/>
      </c>
      <c r="CQ34" s="300"/>
      <c r="CR34" s="375" t="str">
        <f>IFERROR(IF(BZ34="","",IF($BX$15="SALE",INDEX(inventory[COSTO UNITARIO],MATCH(BZ34,inventory[SKU],0)),IF($BX$15="SAMPLING",INDEX(inventory[COSTO UNITARIO],MATCH(BZ34,inventory[SKU],0)),""))),"")</f>
        <v/>
      </c>
      <c r="CS34" s="375" t="str">
        <f t="shared" si="6"/>
        <v/>
      </c>
      <c r="CT34" s="422" t="str">
        <f t="shared" si="7"/>
        <v/>
      </c>
      <c r="CU34" s="349" t="str">
        <f t="shared" si="3"/>
        <v/>
      </c>
      <c r="CV34" s="270"/>
      <c r="CY34" s="275"/>
      <c r="CZ34" s="275"/>
      <c r="DB34" s="190"/>
      <c r="DH34" s="190"/>
      <c r="EE34" s="334" t="str">
        <f t="array" ref="EE34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/>
      </c>
      <c r="EF34" s="494" t="str">
        <f t="array" ref="EF34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/>
      </c>
      <c r="EG34" s="335" t="str">
        <f>IFERROR(IF('BHPC MANAGER'!$EE34="","",INDEX(inventory[ESISTENZA],MATCH('BHPC MANAGER'!$EE34,inventory[SKU],0))),0)</f>
        <v/>
      </c>
      <c r="EH34" s="336" t="s">
        <v>241</v>
      </c>
      <c r="EI34" s="336" t="str">
        <f t="shared" si="4"/>
        <v/>
      </c>
      <c r="EJ34" s="337" t="s">
        <v>241</v>
      </c>
      <c r="EK34" s="338" t="str">
        <f t="shared" si="5"/>
        <v/>
      </c>
      <c r="FF34" s="237"/>
      <c r="FG34" s="237"/>
      <c r="FH34" s="237"/>
      <c r="FI34" s="237"/>
      <c r="FJ34" s="237"/>
      <c r="FK34" s="237"/>
      <c r="FL34" s="237"/>
      <c r="FM34" s="237"/>
      <c r="FN34" s="237"/>
      <c r="FO34" s="237"/>
      <c r="FP34" s="237"/>
      <c r="FQ34" s="237"/>
      <c r="FR34" s="237"/>
      <c r="FS34" s="237"/>
      <c r="FT34" s="237"/>
      <c r="FU34" s="237"/>
      <c r="FV34" s="237"/>
      <c r="FW34" s="237"/>
      <c r="FX34" s="237"/>
      <c r="FY34" s="237"/>
      <c r="FZ34" s="237"/>
      <c r="GA34" s="237"/>
      <c r="GB34" s="237"/>
      <c r="GC34" s="237"/>
      <c r="GD34" s="237"/>
      <c r="GE34" s="237"/>
      <c r="GF34" s="237"/>
      <c r="GG34" s="237"/>
      <c r="GH34" s="237"/>
      <c r="GI34" s="237"/>
      <c r="GJ34" s="237"/>
      <c r="GK34" s="237"/>
      <c r="GL34" s="237"/>
      <c r="GM34" s="237"/>
      <c r="GN34" s="237"/>
      <c r="GO34" s="237"/>
      <c r="GP34" s="237"/>
      <c r="GQ34" s="237"/>
      <c r="GR34" s="237"/>
      <c r="GS34" s="237"/>
      <c r="GT34" s="237"/>
      <c r="GU34" s="237"/>
      <c r="GV34" s="237"/>
      <c r="GW34" s="237"/>
      <c r="GX34" s="237"/>
      <c r="GY34" s="237"/>
      <c r="GZ34" s="237"/>
      <c r="HA34" s="237"/>
      <c r="HB34" s="237"/>
      <c r="HC34" s="237"/>
      <c r="HD34" s="237"/>
      <c r="HE34" s="237"/>
      <c r="HF34" s="237"/>
      <c r="HG34" s="237"/>
      <c r="HH34" s="237"/>
      <c r="HI34" s="237"/>
      <c r="HJ34" s="237"/>
      <c r="HK34" s="237"/>
      <c r="HL34" s="237"/>
      <c r="HM34" s="237"/>
      <c r="HN34" s="237"/>
      <c r="HO34" s="237"/>
      <c r="HP34" s="237"/>
      <c r="HQ34" s="237"/>
      <c r="HR34" s="237"/>
      <c r="HS34" s="237"/>
      <c r="HT34" s="237"/>
    </row>
    <row r="35" spans="10:228" ht="15" customHeight="1" x14ac:dyDescent="0.35">
      <c r="L35" s="280" t="str">
        <f t="array" ref="L35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5" s="281" t="str">
        <f t="array" ref="M35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5" s="282" t="str">
        <f t="array" ref="N35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5" s="283" t="str">
        <f t="array" ref="O35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5" s="284" t="str">
        <f t="array" ref="P35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5" s="285" t="str">
        <f t="array" ref="Q35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5" s="286" t="str">
        <f t="array" ref="R35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5" s="345" t="str">
        <f t="array" ref="S35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5" s="287" t="str">
        <f t="array" ref="T35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5" s="282" t="str">
        <f t="array" ref="U35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5" s="287" t="str">
        <f t="array" ref="V35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5" s="384" t="str">
        <f t="array" ref="W35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5" s="270"/>
      <c r="BN35" s="425"/>
      <c r="BO35" s="263"/>
      <c r="BZ35" s="356"/>
      <c r="CA35" s="297" t="str">
        <f>IFERROR(IF(BZ35="","",INDEX(productData[description],MATCH(BZ35,productData[sku],0))),"")</f>
        <v/>
      </c>
      <c r="CB35" s="299"/>
      <c r="CC35" s="415"/>
      <c r="CD35" s="299"/>
      <c r="CE35" s="417"/>
      <c r="CF35" s="300"/>
      <c r="CG35" s="301" t="str">
        <f>IFERROR(ROUNDUP(CB35/INDEX(productData[units_per_carton],MATCH(BZ35,productData[sku],0)),0),"")</f>
        <v/>
      </c>
      <c r="CH35" s="302" t="str">
        <f>IFERROR(ROUNDUP(CD35/INDEX(productData[units_per_carton],MATCH(BZ35,productData[sku],0)),0),"")</f>
        <v/>
      </c>
      <c r="CI35" s="302" t="str">
        <f>IFERROR(ROUNDUP(CF35/INDEX(productData[units_per_carton],MATCH(BZ35,productData[sku])),0),"")</f>
        <v/>
      </c>
      <c r="CJ35" s="302" t="str">
        <f>IFERROR(((CB35+CD35+CF35)/INDEX(productData[units_per_carton],MATCH(BZ35,productData[sku],0)))*INDEX(productData[net_weight],MATCH(BZ35,productData[sku],0)),"")</f>
        <v/>
      </c>
      <c r="CK35" s="302" t="str">
        <f>IFERROR(((CB35+CD35+CF35)/INDEX(productData[units_per_carton],MATCH(BZ35,productData[sku],0)))*INDEX(productData[gross_weight],MATCH(BZ35,productData[sku],0)),"")</f>
        <v/>
      </c>
      <c r="CL35" s="406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03" t="str">
        <f>IFERROR(INDEX(productData[category],MATCH(BZ35,productData[sku],0)),"")</f>
        <v/>
      </c>
      <c r="CN35" s="303" t="str">
        <f>IFERROR(INDEX(productData[size1],MATCH(BZ35,productData[sku],0)),"")</f>
        <v/>
      </c>
      <c r="CO35" s="304" t="str">
        <f>IFERROR(INDEX(productData[hs_code],MATCH(BZ35,productData[sku],0)),"")</f>
        <v/>
      </c>
      <c r="CP35" s="357" t="str">
        <f>IFERROR(INDEX(productData[sku_geko],MATCH(BZ35,productData[sku],0)),"")</f>
        <v/>
      </c>
      <c r="CQ35" s="300"/>
      <c r="CR35" s="375" t="str">
        <f>IFERROR(IF(BZ35="","",IF($BX$15="SALE",INDEX(inventory[COSTO UNITARIO],MATCH(BZ35,inventory[SKU],0)),IF($BX$15="SAMPLING",INDEX(inventory[COSTO UNITARIO],MATCH(BZ35,inventory[SKU],0)),""))),"")</f>
        <v/>
      </c>
      <c r="CS35" s="375" t="str">
        <f t="shared" si="6"/>
        <v/>
      </c>
      <c r="CT35" s="422" t="str">
        <f t="shared" si="7"/>
        <v/>
      </c>
      <c r="CU35" s="349" t="str">
        <f t="shared" si="3"/>
        <v/>
      </c>
      <c r="CV35" s="270"/>
      <c r="CW35" s="270"/>
      <c r="CX35" s="276"/>
      <c r="CY35" s="277"/>
      <c r="CZ35" s="275"/>
      <c r="DH35" s="190"/>
      <c r="EE35" s="329" t="str">
        <f t="array" ref="EE35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/>
      </c>
      <c r="EF35" s="493" t="str">
        <f t="array" ref="EF35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/>
      </c>
      <c r="EG35" s="330" t="str">
        <f>IFERROR(IF('BHPC MANAGER'!$EE35="","",INDEX(inventory[ESISTENZA],MATCH('BHPC MANAGER'!$EE35,inventory[SKU],0))),0)</f>
        <v/>
      </c>
      <c r="EH35" s="331" t="s">
        <v>241</v>
      </c>
      <c r="EI35" s="331" t="str">
        <f t="shared" si="4"/>
        <v/>
      </c>
      <c r="EJ35" s="332" t="s">
        <v>241</v>
      </c>
      <c r="EK35" s="333" t="str">
        <f t="shared" si="5"/>
        <v/>
      </c>
      <c r="FF35" s="237"/>
      <c r="FG35" s="237"/>
      <c r="FH35" s="237"/>
      <c r="FI35" s="237"/>
      <c r="FJ35" s="237"/>
      <c r="FK35" s="237"/>
      <c r="FL35" s="237"/>
      <c r="FM35" s="237"/>
      <c r="FN35" s="237"/>
      <c r="FO35" s="237"/>
      <c r="FP35" s="237"/>
      <c r="FQ35" s="237"/>
      <c r="FR35" s="237"/>
      <c r="FS35" s="237"/>
      <c r="FT35" s="237"/>
      <c r="FU35" s="237"/>
      <c r="FV35" s="237"/>
      <c r="FW35" s="237"/>
      <c r="FX35" s="237"/>
      <c r="FY35" s="237"/>
      <c r="FZ35" s="237"/>
      <c r="GA35" s="237"/>
      <c r="GB35" s="237"/>
      <c r="GC35" s="237"/>
      <c r="GD35" s="237"/>
      <c r="GE35" s="237"/>
      <c r="GF35" s="237"/>
      <c r="GG35" s="237"/>
      <c r="GH35" s="237"/>
      <c r="GI35" s="237"/>
      <c r="GJ35" s="237"/>
      <c r="GK35" s="237"/>
      <c r="GL35" s="237"/>
      <c r="GM35" s="237"/>
      <c r="GN35" s="237"/>
      <c r="GO35" s="237"/>
      <c r="GP35" s="237"/>
      <c r="GQ35" s="237"/>
      <c r="GR35" s="237"/>
      <c r="GS35" s="237"/>
      <c r="GT35" s="237"/>
      <c r="GU35" s="237"/>
      <c r="GV35" s="237"/>
      <c r="GW35" s="237"/>
      <c r="GX35" s="237"/>
      <c r="GY35" s="237"/>
      <c r="GZ35" s="237"/>
      <c r="HA35" s="237"/>
      <c r="HB35" s="237"/>
      <c r="HC35" s="237"/>
      <c r="HD35" s="237"/>
      <c r="HE35" s="237"/>
      <c r="HF35" s="237"/>
      <c r="HG35" s="237"/>
      <c r="HH35" s="237"/>
      <c r="HI35" s="237"/>
      <c r="HJ35" s="237"/>
      <c r="HK35" s="237"/>
      <c r="HL35" s="237"/>
      <c r="HM35" s="237"/>
      <c r="HN35" s="237"/>
      <c r="HO35" s="237"/>
      <c r="HP35" s="237"/>
      <c r="HQ35" s="237"/>
      <c r="HR35" s="237"/>
      <c r="HS35" s="237"/>
      <c r="HT35" s="237"/>
    </row>
    <row r="36" spans="10:228" ht="15" customHeight="1" x14ac:dyDescent="0.35">
      <c r="L36" s="280" t="str">
        <f t="array" ref="L36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6" s="281" t="str">
        <f t="array" ref="M36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6" s="282" t="str">
        <f t="array" ref="N36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6" s="283" t="str">
        <f t="array" ref="O36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6" s="284" t="str">
        <f t="array" ref="P36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6" s="285" t="str">
        <f t="array" ref="Q36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6" s="286" t="str">
        <f t="array" ref="R36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6" s="345" t="str">
        <f t="array" ref="S36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6" s="287" t="str">
        <f t="array" ref="T36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6" s="282" t="str">
        <f t="array" ref="U36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6" s="287" t="str">
        <f t="array" ref="V36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6" s="384" t="str">
        <f t="array" ref="W36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6" s="240"/>
      <c r="AR36" s="270"/>
      <c r="BN36" s="425"/>
      <c r="BO36" s="263"/>
      <c r="BZ36" s="356"/>
      <c r="CA36" s="297" t="str">
        <f>IFERROR(IF(BZ36="","",INDEX(productData[description],MATCH(BZ36,productData[sku],0))),"")</f>
        <v/>
      </c>
      <c r="CB36" s="299"/>
      <c r="CC36" s="415"/>
      <c r="CD36" s="305"/>
      <c r="CE36" s="417"/>
      <c r="CF36" s="300"/>
      <c r="CG36" s="301" t="str">
        <f>IFERROR(ROUNDUP(CB36/INDEX(productData[units_per_carton],MATCH(BZ36,productData[sku],0)),0),"")</f>
        <v/>
      </c>
      <c r="CH36" s="302" t="str">
        <f>IFERROR(ROUNDUP(CD36/INDEX(productData[units_per_carton],MATCH(BZ36,productData[sku],0)),0),"")</f>
        <v/>
      </c>
      <c r="CI36" s="302" t="str">
        <f>IFERROR(ROUNDUP(CF36/INDEX(productData[units_per_carton],MATCH(BZ36,productData[sku])),0),"")</f>
        <v/>
      </c>
      <c r="CJ36" s="302" t="str">
        <f>IFERROR(((CB36+CD36+CF36)/INDEX(productData[units_per_carton],MATCH(BZ36,productData[sku],0)))*INDEX(productData[net_weight],MATCH(BZ36,productData[sku],0)),"")</f>
        <v/>
      </c>
      <c r="CK36" s="302" t="str">
        <f>IFERROR(((CB36+CD36+CF36)/INDEX(productData[units_per_carton],MATCH(BZ36,productData[sku],0)))*INDEX(productData[gross_weight],MATCH(BZ36,productData[sku],0)),"")</f>
        <v/>
      </c>
      <c r="CL36" s="406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03" t="str">
        <f>IFERROR(INDEX(productData[category],MATCH(BZ36,productData[sku],0)),"")</f>
        <v/>
      </c>
      <c r="CN36" s="303" t="str">
        <f>IFERROR(INDEX(productData[size1],MATCH(BZ36,productData[sku],0)),"")</f>
        <v/>
      </c>
      <c r="CO36" s="304" t="str">
        <f>IFERROR(INDEX(productData[hs_code],MATCH(BZ36,productData[sku],0)),"")</f>
        <v/>
      </c>
      <c r="CP36" s="357" t="str">
        <f>IFERROR(INDEX(productData[sku_geko],MATCH(BZ36,productData[sku],0)),"")</f>
        <v/>
      </c>
      <c r="CQ36" s="300"/>
      <c r="CR36" s="374" t="str">
        <f>IFERROR(IF(BZ36="","",IF($BX$15="SALE",INDEX(inventory[COSTO UNITARIO],MATCH(BZ36,inventory[SKU],0)),IF($BX$15="SAMPLING",INDEX(inventory[COSTO UNITARIO],MATCH(BZ36,inventory[SKU],0)),""))),"")</f>
        <v/>
      </c>
      <c r="CS36" s="374" t="str">
        <f t="shared" si="6"/>
        <v/>
      </c>
      <c r="CT36" s="422" t="str">
        <f t="shared" si="7"/>
        <v/>
      </c>
      <c r="CU36" s="349" t="str">
        <f t="shared" si="3"/>
        <v/>
      </c>
      <c r="CV36" s="270"/>
      <c r="CW36" s="270"/>
      <c r="CX36" s="276"/>
      <c r="CZ36" s="275"/>
      <c r="DH36" s="190"/>
      <c r="EE36" s="334" t="str">
        <f t="array" ref="EE36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/>
      </c>
      <c r="EF36" s="494" t="str">
        <f t="array" ref="EF36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/>
      </c>
      <c r="EG36" s="335" t="str">
        <f>IFERROR(IF('BHPC MANAGER'!$EE36="","",INDEX(inventory[ESISTENZA],MATCH('BHPC MANAGER'!$EE36,inventory[SKU],0))),0)</f>
        <v/>
      </c>
      <c r="EH36" s="336">
        <v>0</v>
      </c>
      <c r="EI36" s="336" t="str">
        <f t="shared" si="4"/>
        <v/>
      </c>
      <c r="EJ36" s="337">
        <v>0</v>
      </c>
      <c r="EK36" s="338" t="str">
        <f t="shared" si="5"/>
        <v/>
      </c>
      <c r="FF36" s="237"/>
      <c r="FG36" s="237"/>
      <c r="FH36" s="237"/>
      <c r="FI36" s="237"/>
      <c r="FJ36" s="237"/>
      <c r="FK36" s="237"/>
      <c r="FL36" s="237"/>
      <c r="FM36" s="237"/>
      <c r="FN36" s="237"/>
      <c r="FO36" s="237"/>
      <c r="FP36" s="237"/>
      <c r="FQ36" s="237"/>
      <c r="FR36" s="237"/>
      <c r="FS36" s="237"/>
      <c r="FT36" s="237"/>
      <c r="FU36" s="237"/>
      <c r="FV36" s="237"/>
      <c r="FW36" s="237"/>
      <c r="FX36" s="237"/>
      <c r="FY36" s="237"/>
      <c r="FZ36" s="237"/>
      <c r="GA36" s="237"/>
      <c r="GB36" s="237"/>
      <c r="GC36" s="237"/>
      <c r="GD36" s="237"/>
      <c r="GE36" s="237"/>
      <c r="GF36" s="237"/>
      <c r="GG36" s="237"/>
      <c r="GH36" s="237"/>
      <c r="GI36" s="237"/>
      <c r="GJ36" s="237"/>
      <c r="GK36" s="237"/>
      <c r="GL36" s="237"/>
      <c r="GM36" s="237"/>
      <c r="GN36" s="237"/>
      <c r="GO36" s="237"/>
      <c r="GP36" s="237"/>
      <c r="GQ36" s="237"/>
      <c r="GR36" s="237"/>
      <c r="GS36" s="237"/>
      <c r="GT36" s="237"/>
      <c r="GU36" s="237"/>
      <c r="GV36" s="237"/>
      <c r="GW36" s="237"/>
      <c r="GX36" s="237"/>
      <c r="GY36" s="237"/>
      <c r="GZ36" s="237"/>
      <c r="HA36" s="237"/>
      <c r="HB36" s="237"/>
      <c r="HC36" s="237"/>
      <c r="HD36" s="237"/>
      <c r="HE36" s="237"/>
      <c r="HF36" s="237"/>
      <c r="HG36" s="237"/>
      <c r="HH36" s="237"/>
      <c r="HI36" s="237"/>
      <c r="HJ36" s="237"/>
      <c r="HK36" s="237"/>
      <c r="HL36" s="237"/>
      <c r="HM36" s="237"/>
      <c r="HN36" s="237"/>
      <c r="HO36" s="237"/>
      <c r="HP36" s="237"/>
      <c r="HQ36" s="237"/>
      <c r="HR36" s="237"/>
      <c r="HS36" s="237"/>
      <c r="HT36" s="237"/>
    </row>
    <row r="37" spans="10:228" ht="15" customHeight="1" x14ac:dyDescent="0.35">
      <c r="L37" s="280" t="str">
        <f t="array" ref="L37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7" s="281" t="str">
        <f t="array" ref="M37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7" s="282" t="str">
        <f t="array" ref="N37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7" s="283" t="str">
        <f t="array" ref="O37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7" s="284" t="str">
        <f t="array" ref="P37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7" s="285" t="str">
        <f t="array" ref="Q37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7" s="286" t="str">
        <f t="array" ref="R37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7" s="345" t="str">
        <f t="array" ref="S37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7" s="287" t="str">
        <f t="array" ref="T37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7" s="282" t="str">
        <f t="array" ref="U37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7" s="287" t="str">
        <f t="array" ref="V37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7" s="384" t="str">
        <f t="array" ref="W37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7" s="259"/>
      <c r="AR37" s="270"/>
      <c r="BN37" s="425"/>
      <c r="BO37" s="263"/>
      <c r="BZ37" s="356"/>
      <c r="CA37" s="297" t="str">
        <f>IFERROR(IF(BZ37="","",INDEX(productData[description],MATCH(BZ37,productData[sku],0))),"")</f>
        <v/>
      </c>
      <c r="CB37" s="299"/>
      <c r="CC37" s="415"/>
      <c r="CD37" s="307"/>
      <c r="CE37" s="417"/>
      <c r="CF37" s="300"/>
      <c r="CG37" s="301" t="str">
        <f>IFERROR(ROUNDUP(CB37/INDEX(productData[units_per_carton],MATCH(BZ37,productData[sku],0)),0),"")</f>
        <v/>
      </c>
      <c r="CH37" s="302" t="str">
        <f>IFERROR(ROUNDUP(CD37/INDEX(productData[units_per_carton],MATCH(BZ37,productData[sku],0)),0),"")</f>
        <v/>
      </c>
      <c r="CI37" s="302" t="str">
        <f>IFERROR(ROUNDUP(CF37/INDEX(productData[units_per_carton],MATCH(BZ37,productData[sku])),0),"")</f>
        <v/>
      </c>
      <c r="CJ37" s="302" t="str">
        <f>IFERROR(((CB37+CD37+CF37)/INDEX(productData[units_per_carton],MATCH(BZ37,productData[sku],0)))*INDEX(productData[net_weight],MATCH(BZ37,productData[sku],0)),"")</f>
        <v/>
      </c>
      <c r="CK37" s="302" t="str">
        <f>IFERROR(((CB37+CD37+CF37)/INDEX(productData[units_per_carton],MATCH(BZ37,productData[sku],0)))*INDEX(productData[gross_weight],MATCH(BZ37,productData[sku],0)),"")</f>
        <v/>
      </c>
      <c r="CL37" s="406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03" t="str">
        <f>IFERROR(INDEX(productData[category],MATCH(BZ37,productData[sku],0)),"")</f>
        <v/>
      </c>
      <c r="CN37" s="303" t="str">
        <f>IFERROR(INDEX(productData[size1],MATCH(BZ37,productData[sku],0)),"")</f>
        <v/>
      </c>
      <c r="CO37" s="304" t="str">
        <f>IFERROR(INDEX(productData[hs_code],MATCH(BZ37,productData[sku],0)),"")</f>
        <v/>
      </c>
      <c r="CP37" s="357" t="str">
        <f>IFERROR(INDEX(productData[sku_geko],MATCH(BZ37,productData[sku],0)),"")</f>
        <v/>
      </c>
      <c r="CQ37" s="300"/>
      <c r="CR37" s="375" t="str">
        <f>IFERROR(IF(BZ37="","",IF($BX$15="SALE",INDEX(inventory[COSTO UNITARIO],MATCH(BZ37,inventory[SKU],0)),IF($BX$15="SAMPLING",INDEX(inventory[COSTO UNITARIO],MATCH(BZ37,inventory[SKU],0)),""))),"")</f>
        <v/>
      </c>
      <c r="CS37" s="375" t="str">
        <f t="shared" si="6"/>
        <v/>
      </c>
      <c r="CT37" s="422" t="str">
        <f t="shared" si="7"/>
        <v/>
      </c>
      <c r="CU37" s="349" t="str">
        <f t="shared" si="3"/>
        <v/>
      </c>
      <c r="CV37" s="270"/>
      <c r="CY37" s="275"/>
      <c r="CZ37" s="275"/>
      <c r="DH37" s="190"/>
      <c r="EE37" s="329" t="str">
        <f t="array" ref="EE37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/>
      </c>
      <c r="EF37" s="493" t="str">
        <f t="array" ref="EF37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/>
      </c>
      <c r="EG37" s="330" t="str">
        <f>IFERROR(IF('BHPC MANAGER'!$EE37="","",INDEX(inventory[ESISTENZA],MATCH('BHPC MANAGER'!$EE37,inventory[SKU],0))),0)</f>
        <v/>
      </c>
      <c r="EH37" s="331">
        <v>0</v>
      </c>
      <c r="EI37" s="331" t="str">
        <f t="shared" si="4"/>
        <v/>
      </c>
      <c r="EJ37" s="332">
        <v>0</v>
      </c>
      <c r="EK37" s="333" t="str">
        <f t="shared" si="5"/>
        <v/>
      </c>
      <c r="FF37" s="237"/>
      <c r="FG37" s="237"/>
      <c r="FH37" s="237"/>
      <c r="FI37" s="237"/>
      <c r="FJ37" s="237"/>
      <c r="FK37" s="237"/>
      <c r="FL37" s="237"/>
      <c r="FM37" s="237"/>
      <c r="FN37" s="237"/>
      <c r="FO37" s="237"/>
      <c r="FP37" s="237"/>
      <c r="FQ37" s="237"/>
      <c r="FR37" s="237"/>
      <c r="FS37" s="237"/>
      <c r="FT37" s="237"/>
      <c r="FU37" s="237"/>
      <c r="FV37" s="237"/>
      <c r="FW37" s="237"/>
      <c r="FX37" s="237"/>
      <c r="FY37" s="237"/>
      <c r="FZ37" s="237"/>
      <c r="GA37" s="237"/>
      <c r="GB37" s="237"/>
      <c r="GC37" s="237"/>
      <c r="GD37" s="237"/>
      <c r="GE37" s="237"/>
      <c r="GF37" s="237"/>
      <c r="GG37" s="237"/>
      <c r="GH37" s="237"/>
      <c r="GI37" s="237"/>
      <c r="GJ37" s="237"/>
      <c r="GK37" s="237"/>
      <c r="GL37" s="237"/>
      <c r="GM37" s="237"/>
      <c r="GN37" s="237"/>
      <c r="GO37" s="237"/>
      <c r="GP37" s="237"/>
      <c r="GQ37" s="237"/>
      <c r="GR37" s="237"/>
      <c r="GS37" s="237"/>
      <c r="GT37" s="237"/>
      <c r="GU37" s="237"/>
      <c r="GV37" s="237"/>
      <c r="GW37" s="237"/>
      <c r="GX37" s="237"/>
      <c r="GY37" s="237"/>
      <c r="GZ37" s="237"/>
      <c r="HA37" s="237"/>
      <c r="HB37" s="237"/>
      <c r="HC37" s="237"/>
      <c r="HD37" s="237"/>
      <c r="HE37" s="237"/>
      <c r="HF37" s="237"/>
      <c r="HG37" s="237"/>
      <c r="HH37" s="237"/>
      <c r="HI37" s="237"/>
      <c r="HJ37" s="237"/>
      <c r="HK37" s="237"/>
      <c r="HL37" s="237"/>
      <c r="HM37" s="237"/>
      <c r="HN37" s="237"/>
      <c r="HO37" s="237"/>
      <c r="HP37" s="237"/>
      <c r="HQ37" s="237"/>
      <c r="HR37" s="237"/>
      <c r="HS37" s="237"/>
      <c r="HT37" s="237"/>
    </row>
    <row r="38" spans="10:228" ht="15" customHeight="1" x14ac:dyDescent="0.35">
      <c r="L38" s="280" t="str">
        <f t="array" ref="L38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38" s="281" t="str">
        <f t="array" ref="M38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38" s="282" t="str">
        <f t="array" ref="N38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38" s="283" t="str">
        <f t="array" ref="O38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38" s="284" t="str">
        <f t="array" ref="P38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38" s="285" t="str">
        <f t="array" ref="Q38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38" s="286" t="str">
        <f t="array" ref="R38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38" s="345" t="str">
        <f t="array" ref="S38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38" s="287" t="str">
        <f t="array" ref="T38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38" s="282" t="str">
        <f t="array" ref="U38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38" s="287" t="str">
        <f t="array" ref="V38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38" s="384" t="str">
        <f t="array" ref="W38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38" s="270"/>
      <c r="AR38" s="715"/>
      <c r="AS38" s="715"/>
      <c r="AT38" s="715"/>
      <c r="BN38" s="425"/>
      <c r="BO38" s="263"/>
      <c r="BZ38" s="356"/>
      <c r="CA38" s="297" t="str">
        <f>IFERROR(IF(BZ38="","",INDEX(productData[description],MATCH(BZ38,productData[sku],0))),"")</f>
        <v/>
      </c>
      <c r="CB38" s="299"/>
      <c r="CC38" s="414"/>
      <c r="CD38" s="305"/>
      <c r="CE38" s="417"/>
      <c r="CF38" s="300"/>
      <c r="CG38" s="301" t="str">
        <f>IFERROR(ROUNDUP(CB38/INDEX(productData[units_per_carton],MATCH(BZ38,productData[sku],0)),0),"")</f>
        <v/>
      </c>
      <c r="CH38" s="302" t="str">
        <f>IFERROR(ROUNDUP(CD38/INDEX(productData[units_per_carton],MATCH(BZ38,productData[sku],0)),0),"")</f>
        <v/>
      </c>
      <c r="CI38" s="302" t="str">
        <f>IFERROR(ROUNDUP(CF38/INDEX(productData[units_per_carton],MATCH(BZ38,productData[sku])),0),"")</f>
        <v/>
      </c>
      <c r="CJ38" s="302" t="str">
        <f>IFERROR(((CB38+CD38+CF38)/INDEX(productData[units_per_carton],MATCH(BZ38,productData[sku],0)))*INDEX(productData[net_weight],MATCH(BZ38,productData[sku],0)),"")</f>
        <v/>
      </c>
      <c r="CK38" s="302" t="str">
        <f>IFERROR(((CB38+CD38+CF38)/INDEX(productData[units_per_carton],MATCH(BZ38,productData[sku],0)))*INDEX(productData[gross_weight],MATCH(BZ38,productData[sku],0)),"")</f>
        <v/>
      </c>
      <c r="CL38" s="406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03" t="str">
        <f>IFERROR(INDEX(productData[category],MATCH(BZ38,productData[sku],0)),"")</f>
        <v/>
      </c>
      <c r="CN38" s="303" t="str">
        <f>IFERROR(INDEX(productData[size1],MATCH(BZ38,productData[sku],0)),"")</f>
        <v/>
      </c>
      <c r="CO38" s="304" t="str">
        <f>IFERROR(INDEX(productData[hs_code],MATCH(BZ38,productData[sku],0)),"")</f>
        <v/>
      </c>
      <c r="CP38" s="357" t="str">
        <f>IFERROR(INDEX(productData[sku_geko],MATCH(BZ38,productData[sku],0)),"")</f>
        <v/>
      </c>
      <c r="CQ38" s="300"/>
      <c r="CR38" s="375" t="str">
        <f>IFERROR(IF(BZ38="","",IF($BX$15="SALE",INDEX(inventory[COSTO UNITARIO],MATCH(BZ38,inventory[SKU],0)),IF($BX$15="SAMPLING",INDEX(inventory[COSTO UNITARIO],MATCH(BZ38,inventory[SKU],0)),""))),"")</f>
        <v/>
      </c>
      <c r="CS38" s="375" t="str">
        <f t="shared" si="6"/>
        <v/>
      </c>
      <c r="CT38" s="422" t="str">
        <f t="shared" si="7"/>
        <v/>
      </c>
      <c r="CU38" s="349" t="str">
        <f t="shared" si="3"/>
        <v/>
      </c>
      <c r="CV38" s="270"/>
      <c r="CW38" s="270"/>
      <c r="CX38" s="278"/>
      <c r="CY38" s="270"/>
      <c r="DB38" s="246" t="str">
        <f>IFERROR(VLOOKUP(BZ38,productData[],22,FALSE),"")</f>
        <v/>
      </c>
      <c r="DH38" s="190"/>
      <c r="EE38" s="334" t="str">
        <f t="array" ref="EE38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/>
      </c>
      <c r="EF38" s="494" t="str">
        <f t="array" ref="EF38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/>
      </c>
      <c r="EG38" s="335" t="str">
        <f>IFERROR(IF('BHPC MANAGER'!$EE38="","",INDEX(inventory[ESISTENZA],MATCH('BHPC MANAGER'!$EE38,inventory[SKU],0))),0)</f>
        <v/>
      </c>
      <c r="EH38" s="336" t="s">
        <v>241</v>
      </c>
      <c r="EI38" s="336" t="str">
        <f t="shared" si="4"/>
        <v/>
      </c>
      <c r="EJ38" s="337" t="s">
        <v>241</v>
      </c>
      <c r="EK38" s="338" t="str">
        <f t="shared" si="5"/>
        <v/>
      </c>
      <c r="FF38" s="237"/>
      <c r="FG38" s="237"/>
      <c r="FH38" s="237"/>
      <c r="FI38" s="237"/>
      <c r="FJ38" s="237"/>
      <c r="FK38" s="237"/>
      <c r="FL38" s="237"/>
      <c r="FM38" s="237"/>
      <c r="FN38" s="237"/>
      <c r="FO38" s="237"/>
      <c r="FP38" s="237"/>
      <c r="FQ38" s="237"/>
      <c r="FR38" s="237"/>
      <c r="FS38" s="237"/>
      <c r="FT38" s="237"/>
      <c r="FU38" s="237"/>
      <c r="FV38" s="237"/>
      <c r="FW38" s="237"/>
      <c r="FX38" s="237"/>
      <c r="FY38" s="237"/>
      <c r="FZ38" s="237"/>
      <c r="GA38" s="237"/>
      <c r="GB38" s="237"/>
      <c r="GC38" s="237"/>
      <c r="GD38" s="237"/>
      <c r="GE38" s="237"/>
      <c r="GF38" s="237"/>
      <c r="GG38" s="237"/>
      <c r="GH38" s="237"/>
      <c r="GI38" s="237"/>
      <c r="GJ38" s="237"/>
      <c r="GK38" s="237"/>
      <c r="GL38" s="237"/>
      <c r="GM38" s="237"/>
      <c r="GN38" s="237"/>
      <c r="GO38" s="237"/>
      <c r="GP38" s="237"/>
      <c r="GQ38" s="237"/>
      <c r="GR38" s="237"/>
      <c r="GS38" s="237"/>
      <c r="GT38" s="237"/>
      <c r="GU38" s="237"/>
      <c r="GV38" s="237"/>
      <c r="GW38" s="237"/>
      <c r="GX38" s="237"/>
      <c r="GY38" s="237"/>
      <c r="GZ38" s="237"/>
      <c r="HA38" s="237"/>
      <c r="HB38" s="237"/>
      <c r="HC38" s="237"/>
      <c r="HD38" s="237"/>
      <c r="HE38" s="237"/>
      <c r="HF38" s="237"/>
      <c r="HG38" s="237"/>
      <c r="HH38" s="237"/>
      <c r="HI38" s="237"/>
      <c r="HJ38" s="237"/>
      <c r="HK38" s="237"/>
      <c r="HL38" s="237"/>
      <c r="HM38" s="237"/>
      <c r="HN38" s="237"/>
      <c r="HO38" s="237"/>
      <c r="HP38" s="237"/>
      <c r="HQ38" s="237"/>
      <c r="HR38" s="237"/>
      <c r="HS38" s="237"/>
      <c r="HT38" s="237"/>
    </row>
    <row r="39" spans="10:228" ht="15" customHeight="1" x14ac:dyDescent="0.35">
      <c r="L39" s="280" t="str">
        <f t="array" ref="L39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39" s="281" t="str">
        <f t="array" ref="M39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39" s="282" t="str">
        <f t="array" ref="N39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39" s="283" t="str">
        <f t="array" ref="O39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39" s="284" t="str">
        <f t="array" ref="P39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39" s="285" t="str">
        <f t="array" ref="Q39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39" s="286" t="str">
        <f t="array" ref="R39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39" s="345" t="str">
        <f t="array" ref="S39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39" s="287" t="str">
        <f t="array" ref="T39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39" s="282" t="str">
        <f t="array" ref="U39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39" s="287" t="str">
        <f t="array" ref="V39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39" s="384" t="str">
        <f t="array" ref="W39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AQ39" s="270"/>
      <c r="AR39" s="457"/>
      <c r="AS39" s="270"/>
      <c r="AT39" s="458"/>
      <c r="BN39" s="425"/>
      <c r="BO39" s="263"/>
      <c r="BZ39" s="356"/>
      <c r="CA39" s="297" t="str">
        <f>IFERROR(IF(BZ39="","",INDEX(productData[description],MATCH(BZ39,productData[sku],0))),"")</f>
        <v/>
      </c>
      <c r="CB39" s="298"/>
      <c r="CC39" s="414"/>
      <c r="CD39" s="305"/>
      <c r="CE39" s="417"/>
      <c r="CF39" s="300"/>
      <c r="CG39" s="301" t="str">
        <f>IFERROR(ROUNDUP(CB39/INDEX(productData[units_per_carton],MATCH(BZ39,productData[sku],0)),0),"")</f>
        <v/>
      </c>
      <c r="CH39" s="302" t="str">
        <f>IFERROR(ROUNDUP(CD39/INDEX(productData[units_per_carton],MATCH(BZ39,productData[sku],0)),0),"")</f>
        <v/>
      </c>
      <c r="CI39" s="302" t="str">
        <f>IFERROR(ROUNDUP(CF39/INDEX(productData[units_per_carton],MATCH(BZ39,productData[sku])),0),"")</f>
        <v/>
      </c>
      <c r="CJ39" s="302" t="str">
        <f>IFERROR(((CB39+CD39+CF39)/INDEX(productData[units_per_carton],MATCH(BZ39,productData[sku],0)))*INDEX(productData[net_weight],MATCH(BZ39,productData[sku],0)),"")</f>
        <v/>
      </c>
      <c r="CK39" s="302" t="str">
        <f>IFERROR(((CB39+CD39+CF39)/INDEX(productData[units_per_carton],MATCH(BZ39,productData[sku],0)))*INDEX(productData[gross_weight],MATCH(BZ39,productData[sku],0)),"")</f>
        <v/>
      </c>
      <c r="CL39" s="406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03" t="str">
        <f>IFERROR(INDEX(productData[category],MATCH(BZ39,productData[sku],0)),"")</f>
        <v/>
      </c>
      <c r="CN39" s="303" t="str">
        <f>IFERROR(INDEX(productData[size1],MATCH(BZ39,productData[sku],0)),"")</f>
        <v/>
      </c>
      <c r="CO39" s="304" t="str">
        <f>IFERROR(INDEX(productData[hs_code],MATCH(BZ39,productData[sku],0)),"")</f>
        <v/>
      </c>
      <c r="CP39" s="357" t="str">
        <f>IFERROR(INDEX(productData[sku_geko],MATCH(BZ39,productData[sku],0)),"")</f>
        <v/>
      </c>
      <c r="CQ39" s="300"/>
      <c r="CR39" s="375" t="str">
        <f>IFERROR(IF(BZ39="","",IF($BX$15="SALE",INDEX(inventory[COSTO UNITARIO],MATCH(BZ39,inventory[SKU],0)),IF($BX$15="SAMPLING",INDEX(inventory[COSTO UNITARIO],MATCH(BZ39,inventory[SKU],0)),""))),"")</f>
        <v/>
      </c>
      <c r="CS39" s="375" t="str">
        <f t="shared" si="6"/>
        <v/>
      </c>
      <c r="CT39" s="422" t="str">
        <f t="shared" si="7"/>
        <v/>
      </c>
      <c r="CU39" s="349" t="str">
        <f t="shared" si="3"/>
        <v/>
      </c>
      <c r="DB39" s="246" t="str">
        <f>IFERROR(VLOOKUP(BZ39,productData[],22,FALSE),"")</f>
        <v/>
      </c>
      <c r="DH39" s="190"/>
      <c r="EE39" s="329" t="str">
        <f t="array" ref="EE39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/>
      </c>
      <c r="EF39" s="493" t="str">
        <f t="array" ref="EF39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/>
      </c>
      <c r="EG39" s="330" t="str">
        <f>IFERROR(IF('BHPC MANAGER'!$EE39="","",INDEX(inventory[ESISTENZA],MATCH('BHPC MANAGER'!$EE39,inventory[SKU],0))),0)</f>
        <v/>
      </c>
      <c r="EH39" s="331" t="s">
        <v>241</v>
      </c>
      <c r="EI39" s="331" t="str">
        <f t="shared" si="4"/>
        <v/>
      </c>
      <c r="EJ39" s="332" t="s">
        <v>241</v>
      </c>
      <c r="EK39" s="333" t="str">
        <f t="shared" si="5"/>
        <v/>
      </c>
      <c r="FF39" s="237"/>
      <c r="FG39" s="237"/>
      <c r="FH39" s="237"/>
      <c r="FI39" s="237"/>
      <c r="FJ39" s="237"/>
      <c r="FK39" s="237"/>
      <c r="FL39" s="237"/>
      <c r="FM39" s="237"/>
      <c r="FN39" s="237"/>
      <c r="FO39" s="237"/>
      <c r="FP39" s="237"/>
      <c r="FQ39" s="237"/>
      <c r="FR39" s="237"/>
      <c r="FS39" s="237"/>
      <c r="FT39" s="237"/>
      <c r="FU39" s="237"/>
      <c r="FV39" s="237"/>
      <c r="FW39" s="237"/>
      <c r="FX39" s="237"/>
      <c r="FY39" s="237"/>
      <c r="FZ39" s="237"/>
      <c r="GA39" s="237"/>
      <c r="GB39" s="237"/>
      <c r="GC39" s="237"/>
      <c r="GD39" s="237"/>
      <c r="GE39" s="237"/>
      <c r="GF39" s="237"/>
      <c r="GG39" s="237"/>
      <c r="GH39" s="237"/>
      <c r="GI39" s="237"/>
      <c r="GJ39" s="237"/>
      <c r="GK39" s="237"/>
      <c r="GL39" s="237"/>
      <c r="GM39" s="237"/>
      <c r="GN39" s="237"/>
      <c r="GO39" s="237"/>
      <c r="GP39" s="237"/>
      <c r="GQ39" s="237"/>
      <c r="GR39" s="237"/>
      <c r="GS39" s="237"/>
      <c r="GT39" s="237"/>
      <c r="GU39" s="237"/>
      <c r="GV39" s="237"/>
      <c r="GW39" s="237"/>
      <c r="GX39" s="237"/>
      <c r="GY39" s="237"/>
      <c r="GZ39" s="237"/>
      <c r="HA39" s="237"/>
      <c r="HB39" s="237"/>
      <c r="HC39" s="237"/>
      <c r="HD39" s="237"/>
      <c r="HE39" s="237"/>
      <c r="HF39" s="237"/>
      <c r="HG39" s="237"/>
      <c r="HH39" s="237"/>
      <c r="HI39" s="237"/>
      <c r="HJ39" s="237"/>
      <c r="HK39" s="237"/>
      <c r="HL39" s="237"/>
      <c r="HM39" s="237"/>
      <c r="HN39" s="237"/>
      <c r="HO39" s="237"/>
      <c r="HP39" s="237"/>
      <c r="HQ39" s="237"/>
      <c r="HR39" s="237"/>
      <c r="HS39" s="237"/>
      <c r="HT39" s="237"/>
    </row>
    <row r="40" spans="10:228" ht="15" customHeight="1" x14ac:dyDescent="0.35">
      <c r="L40" s="280" t="str">
        <f t="array" ref="L40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0" s="281" t="str">
        <f t="array" ref="M40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0" s="282" t="str">
        <f t="array" ref="N40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0" s="283" t="str">
        <f t="array" ref="O40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0" s="284" t="str">
        <f t="array" ref="P40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0" s="285" t="str">
        <f t="array" ref="Q40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0" s="286" t="str">
        <f t="array" ref="R40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0" s="345" t="str">
        <f t="array" ref="S40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0" s="287" t="str">
        <f t="array" ref="T40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0" s="282" t="str">
        <f t="array" ref="U40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0" s="287" t="str">
        <f t="array" ref="V40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0" s="384" t="str">
        <f t="array" ref="W40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AQ40" s="270"/>
      <c r="BN40" s="425"/>
      <c r="BO40" s="263"/>
      <c r="BZ40" s="308"/>
      <c r="CA40" s="297" t="str">
        <f>IFERROR(IF(BZ40="","",INDEX(productData[description],MATCH(BZ40,productData[sku],0))),"")</f>
        <v/>
      </c>
      <c r="CB40" s="298"/>
      <c r="CC40" s="414"/>
      <c r="CD40" s="305"/>
      <c r="CE40" s="417"/>
      <c r="CF40" s="300"/>
      <c r="CG40" s="301" t="str">
        <f>IFERROR(ROUNDUP(CB40/INDEX(productData[units_per_carton],MATCH(BZ40,productData[sku],0)),0),"")</f>
        <v/>
      </c>
      <c r="CH40" s="302" t="str">
        <f>IFERROR(ROUNDUP(CD40/INDEX(productData[units_per_carton],MATCH(BZ40,productData[sku],0)),0),"")</f>
        <v/>
      </c>
      <c r="CI40" s="302" t="str">
        <f>IFERROR(ROUNDUP(CF40/INDEX(productData[units_per_carton],MATCH(BZ40,productData[sku])),0),"")</f>
        <v/>
      </c>
      <c r="CJ40" s="302" t="str">
        <f>IFERROR(((CB40+CD40+CF40)/INDEX(productData[units_per_carton],MATCH(BZ40,productData[sku],0)))*INDEX(productData[net_weight],MATCH(BZ40,productData[sku],0)),"")</f>
        <v/>
      </c>
      <c r="CK40" s="302" t="str">
        <f>IFERROR(((CB40+CD40+CF40)/INDEX(productData[units_per_carton],MATCH(BZ40,productData[sku],0)))*INDEX(productData[gross_weight],MATCH(BZ40,productData[sku],0)),"")</f>
        <v/>
      </c>
      <c r="CL40" s="406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03" t="str">
        <f>IFERROR(INDEX(productData[category],MATCH(BZ40,productData[sku],0)),"")</f>
        <v/>
      </c>
      <c r="CN40" s="303" t="str">
        <f>IFERROR(INDEX(productData[size1],MATCH(BZ40,productData[sku],0)),"")</f>
        <v/>
      </c>
      <c r="CO40" s="304" t="str">
        <f>IFERROR(INDEX(productData[hs_code],MATCH(BZ40,productData[sku],0)),"")</f>
        <v/>
      </c>
      <c r="CP40" s="357" t="str">
        <f>IFERROR(INDEX(productData[sku_geko],MATCH(BZ40,productData[sku],0)),"")</f>
        <v/>
      </c>
      <c r="CQ40" s="300"/>
      <c r="CR40" s="375" t="str">
        <f>IFERROR(IF(BZ40="","",IF($BX$15="SALE",INDEX(inventory[COSTO UNITARIO],MATCH(BZ40,inventory[SKU],0)),IF($BX$15="SAMPLING",INDEX(inventory[COSTO UNITARIO],MATCH(BZ40,inventory[SKU],0)),""))),"")</f>
        <v/>
      </c>
      <c r="CS40" s="375" t="str">
        <f t="shared" si="6"/>
        <v/>
      </c>
      <c r="CT40" s="422" t="str">
        <f t="shared" si="7"/>
        <v/>
      </c>
      <c r="CU40" s="349" t="str">
        <f t="shared" si="3"/>
        <v/>
      </c>
      <c r="CY40" s="258"/>
      <c r="DB40" s="246" t="str">
        <f>IFERROR(VLOOKUP(BZ40,productData[],22,FALSE),"")</f>
        <v/>
      </c>
      <c r="DH40" s="190"/>
      <c r="EE40" s="334" t="str">
        <f t="array" ref="EE40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/>
      </c>
      <c r="EF40" s="494" t="str">
        <f t="array" ref="EF40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/>
      </c>
      <c r="EG40" s="335" t="str">
        <f>IFERROR(IF('BHPC MANAGER'!$EE40="","",INDEX(inventory[ESISTENZA],MATCH('BHPC MANAGER'!$EE40,inventory[SKU],0))),0)</f>
        <v/>
      </c>
      <c r="EH40" s="336" t="s">
        <v>241</v>
      </c>
      <c r="EI40" s="336" t="str">
        <f t="shared" si="4"/>
        <v/>
      </c>
      <c r="EJ40" s="337" t="s">
        <v>241</v>
      </c>
      <c r="EK40" s="338" t="str">
        <f t="shared" si="5"/>
        <v/>
      </c>
      <c r="FF40" s="237"/>
      <c r="FG40" s="237"/>
      <c r="FH40" s="237"/>
      <c r="FI40" s="237"/>
      <c r="FJ40" s="237"/>
      <c r="FK40" s="237"/>
      <c r="FL40" s="237"/>
      <c r="FM40" s="237"/>
      <c r="FN40" s="237"/>
      <c r="FO40" s="237"/>
      <c r="FP40" s="237"/>
      <c r="FQ40" s="237"/>
      <c r="FR40" s="237"/>
      <c r="FS40" s="237"/>
      <c r="FT40" s="237"/>
      <c r="FU40" s="237"/>
      <c r="FV40" s="237"/>
      <c r="FW40" s="237"/>
      <c r="FX40" s="237"/>
      <c r="FY40" s="237"/>
      <c r="FZ40" s="237"/>
      <c r="GA40" s="237"/>
      <c r="GB40" s="237"/>
      <c r="GC40" s="237"/>
      <c r="GD40" s="237"/>
      <c r="GE40" s="237"/>
      <c r="GF40" s="237"/>
      <c r="GG40" s="237"/>
      <c r="GH40" s="237"/>
      <c r="GI40" s="237"/>
      <c r="GJ40" s="237"/>
      <c r="GK40" s="237"/>
      <c r="GL40" s="237"/>
      <c r="GM40" s="237"/>
      <c r="GN40" s="237"/>
      <c r="GO40" s="237"/>
      <c r="GP40" s="237"/>
      <c r="GQ40" s="237"/>
      <c r="GR40" s="237"/>
      <c r="GS40" s="237"/>
      <c r="GT40" s="237"/>
      <c r="GU40" s="237"/>
      <c r="GV40" s="237"/>
      <c r="GW40" s="237"/>
      <c r="GX40" s="237"/>
      <c r="GY40" s="237"/>
      <c r="GZ40" s="237"/>
      <c r="HA40" s="237"/>
      <c r="HB40" s="237"/>
      <c r="HC40" s="237"/>
      <c r="HD40" s="237"/>
      <c r="HE40" s="237"/>
      <c r="HF40" s="237"/>
      <c r="HG40" s="237"/>
      <c r="HH40" s="237"/>
      <c r="HI40" s="237"/>
      <c r="HJ40" s="237"/>
      <c r="HK40" s="237"/>
      <c r="HL40" s="237"/>
      <c r="HM40" s="237"/>
      <c r="HN40" s="237"/>
      <c r="HO40" s="237"/>
      <c r="HP40" s="237"/>
      <c r="HQ40" s="237"/>
      <c r="HR40" s="237"/>
      <c r="HS40" s="237"/>
      <c r="HT40" s="237"/>
    </row>
    <row r="41" spans="10:228" ht="15" customHeight="1" x14ac:dyDescent="0.35">
      <c r="L41" s="280" t="str">
        <f t="array" ref="L41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1" s="281" t="str">
        <f t="array" ref="M41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1" s="282" t="str">
        <f t="array" ref="N41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1" s="283" t="str">
        <f t="array" ref="O41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1" s="284" t="str">
        <f t="array" ref="P41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1" s="285" t="str">
        <f t="array" ref="Q41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1" s="286" t="str">
        <f t="array" ref="R41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1" s="345" t="str">
        <f t="array" ref="S41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1" s="287" t="str">
        <f t="array" ref="T41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1" s="282" t="str">
        <f t="array" ref="U41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1" s="287" t="str">
        <f t="array" ref="V41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1" s="384" t="str">
        <f t="array" ref="W41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N41" s="425"/>
      <c r="BO41" s="263"/>
      <c r="BZ41" s="308"/>
      <c r="CA41" s="297" t="str">
        <f>IFERROR(IF(BZ41="","",INDEX(productData[description],MATCH(BZ41,productData[sku],0))),"")</f>
        <v/>
      </c>
      <c r="CB41" s="299"/>
      <c r="CC41" s="412"/>
      <c r="CD41" s="305"/>
      <c r="CE41" s="417"/>
      <c r="CF41" s="300"/>
      <c r="CG41" s="301" t="str">
        <f>IFERROR(ROUNDUP(CB41/INDEX(productData[units_per_carton],MATCH(BZ41,productData[sku],0)),0),"")</f>
        <v/>
      </c>
      <c r="CH41" s="302" t="str">
        <f>IFERROR(ROUNDUP(CD41/INDEX(productData[units_per_carton],MATCH(BZ41,productData[sku],0)),0),"")</f>
        <v/>
      </c>
      <c r="CI41" s="302" t="str">
        <f>IFERROR(ROUNDUP(CF41/INDEX(productData[units_per_carton],MATCH(BZ41,productData[sku])),0),"")</f>
        <v/>
      </c>
      <c r="CJ41" s="302" t="str">
        <f>IFERROR(((CB41+CD41+CF41)/INDEX(productData[units_per_carton],MATCH(BZ41,productData[sku],0)))*INDEX(productData[net_weight],MATCH(BZ41,productData[sku],0)),"")</f>
        <v/>
      </c>
      <c r="CK41" s="302" t="str">
        <f>IFERROR(((CB41+CD41+CF41)/INDEX(productData[units_per_carton],MATCH(BZ41,productData[sku],0)))*INDEX(productData[gross_weight],MATCH(BZ41,productData[sku],0)),"")</f>
        <v/>
      </c>
      <c r="CL41" s="406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03" t="str">
        <f>IFERROR(INDEX(productData[category],MATCH(BZ41,productData[sku],0)),"")</f>
        <v/>
      </c>
      <c r="CN41" s="303" t="str">
        <f>IFERROR(INDEX(productData[size1],MATCH(BZ41,productData[sku],0)),"")</f>
        <v/>
      </c>
      <c r="CO41" s="304" t="str">
        <f>IFERROR(INDEX(productData[hs_code],MATCH(BZ41,productData[sku],0)),"")</f>
        <v/>
      </c>
      <c r="CP41" s="357" t="str">
        <f>IFERROR(INDEX(productData[sku_geko],MATCH(BZ41,productData[sku],0)),"")</f>
        <v/>
      </c>
      <c r="CQ41" s="300"/>
      <c r="CR41" s="374" t="str">
        <f>IFERROR(IF(BZ41="","",IF($BX$15="SALE",INDEX(inventory[COSTO UNITARIO],MATCH(BZ41,inventory[SKU],0)),IF($BX$15="SAMPLING",INDEX(inventory[COSTO UNITARIO],MATCH(BZ41,inventory[SKU],0)),""))),"")</f>
        <v/>
      </c>
      <c r="CS41" s="374" t="str">
        <f t="shared" si="6"/>
        <v/>
      </c>
      <c r="CT41" s="422" t="str">
        <f t="shared" si="7"/>
        <v/>
      </c>
      <c r="CU41" s="349" t="str">
        <f t="shared" si="3"/>
        <v/>
      </c>
      <c r="CV41" s="246"/>
      <c r="CW41" s="271"/>
      <c r="CX41" s="246"/>
      <c r="CY41" s="246"/>
      <c r="CZ41" s="246"/>
      <c r="DA41" s="246"/>
      <c r="DH41" s="190"/>
      <c r="EE41" s="329" t="str">
        <f t="array" ref="EE41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/>
      </c>
      <c r="EF41" s="493" t="str">
        <f t="array" ref="EF41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/>
      </c>
      <c r="EG41" s="330" t="str">
        <f>IFERROR(IF('BHPC MANAGER'!$EE41="","",INDEX(inventory[ESISTENZA],MATCH('BHPC MANAGER'!$EE41,inventory[SKU],0))),0)</f>
        <v/>
      </c>
      <c r="EH41" s="331" t="s">
        <v>241</v>
      </c>
      <c r="EI41" s="331" t="str">
        <f t="shared" si="4"/>
        <v/>
      </c>
      <c r="EJ41" s="332" t="s">
        <v>241</v>
      </c>
      <c r="EK41" s="333" t="str">
        <f t="shared" si="5"/>
        <v/>
      </c>
      <c r="EO41" s="190" t="str">
        <f t="array" ref="EO41">IFERROR(INDEX(orderData[order_no],SMALL(IF(ISNUMBER(MATCH(orderData[status],$EO$9,0)),MATCH(ROW(orderData[order_no]),ROW(orderData[order_no])),""),ROWS($A$15:A46))),"")</f>
        <v/>
      </c>
    </row>
    <row r="42" spans="10:228" ht="15" customHeight="1" x14ac:dyDescent="0.35">
      <c r="L42" s="280" t="str">
        <f t="array" ref="L42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2" s="281" t="str">
        <f t="array" ref="M42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2" s="282" t="str">
        <f t="array" ref="N42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2" s="283" t="str">
        <f t="array" ref="O42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2" s="284" t="str">
        <f t="array" ref="P42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2" s="285" t="str">
        <f t="array" ref="Q42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2" s="286" t="str">
        <f t="array" ref="R42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2" s="345" t="str">
        <f t="array" ref="S42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2" s="287" t="str">
        <f t="array" ref="T42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2" s="282" t="str">
        <f t="array" ref="U42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2" s="287" t="str">
        <f t="array" ref="V42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2" s="384" t="str">
        <f t="array" ref="W42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G42" s="251"/>
      <c r="BN42" s="425"/>
      <c r="BO42" s="263"/>
      <c r="BZ42" s="296"/>
      <c r="CA42" s="297" t="str">
        <f>IFERROR(IF(BZ42="","",INDEX(productData[description],MATCH(BZ42,productData[sku],0))),"")</f>
        <v/>
      </c>
      <c r="CB42" s="298"/>
      <c r="CC42" s="412"/>
      <c r="CD42" s="307"/>
      <c r="CE42" s="417"/>
      <c r="CF42" s="300"/>
      <c r="CG42" s="301" t="str">
        <f>IFERROR(ROUNDUP(CB42/INDEX(productData[units_per_carton],MATCH(BZ42,productData[sku],0)),0),"")</f>
        <v/>
      </c>
      <c r="CH42" s="302" t="str">
        <f>IFERROR(ROUNDUP(CD42/INDEX(productData[units_per_carton],MATCH(BZ42,productData[sku],0)),0),"")</f>
        <v/>
      </c>
      <c r="CI42" s="302" t="str">
        <f>IFERROR(ROUNDUP(CF42/INDEX(productData[units_per_carton],MATCH(BZ42,productData[sku])),0),"")</f>
        <v/>
      </c>
      <c r="CJ42" s="302" t="str">
        <f>IFERROR(((CB42+CD42+CF42)/INDEX(productData[units_per_carton],MATCH(BZ42,productData[sku],0)))*INDEX(productData[net_weight],MATCH(BZ42,productData[sku],0)),"")</f>
        <v/>
      </c>
      <c r="CK42" s="302" t="str">
        <f>IFERROR(((CB42+CD42+CF42)/INDEX(productData[units_per_carton],MATCH(BZ42,productData[sku],0)))*INDEX(productData[gross_weight],MATCH(BZ42,productData[sku],0)),"")</f>
        <v/>
      </c>
      <c r="CL42" s="406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03" t="str">
        <f>IFERROR(INDEX(productData[category],MATCH(BZ42,productData[sku],0)),"")</f>
        <v/>
      </c>
      <c r="CN42" s="303" t="str">
        <f>IFERROR(INDEX(productData[size1],MATCH(BZ42,productData[sku],0)),"")</f>
        <v/>
      </c>
      <c r="CO42" s="304" t="str">
        <f>IFERROR(INDEX(productData[hs_code],MATCH(BZ42,productData[sku],0)),"")</f>
        <v/>
      </c>
      <c r="CP42" s="357" t="str">
        <f>IFERROR(INDEX(productData[sku_geko],MATCH(BZ42,productData[sku],0)),"")</f>
        <v/>
      </c>
      <c r="CQ42" s="300"/>
      <c r="CR42" s="375" t="str">
        <f>IFERROR(IF(BZ42="","",IF($BX$15="SALE",INDEX(inventory[COSTO UNITARIO],MATCH(BZ42,inventory[SKU],0)),IF($BX$15="SAMPLING",INDEX(inventory[COSTO UNITARIO],MATCH(BZ42,inventory[SKU],0)),""))),"")</f>
        <v/>
      </c>
      <c r="CS42" s="375" t="str">
        <f t="shared" si="6"/>
        <v/>
      </c>
      <c r="CT42" s="422" t="str">
        <f t="shared" si="7"/>
        <v/>
      </c>
      <c r="CU42" s="349" t="str">
        <f t="shared" si="3"/>
        <v/>
      </c>
      <c r="CV42" s="246"/>
      <c r="CW42" s="246"/>
      <c r="CX42" s="246"/>
      <c r="CY42" s="347"/>
      <c r="CZ42" s="246"/>
      <c r="DA42" s="246"/>
      <c r="DB42" s="246" t="str">
        <f>IFERROR(VLOOKUP(BZ42,productData[],22,FALSE),"")</f>
        <v/>
      </c>
      <c r="DH42" s="190"/>
      <c r="EE42" s="334" t="str">
        <f t="array" ref="EE42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/>
      </c>
      <c r="EF42" s="494" t="str">
        <f t="array" ref="EF42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/>
      </c>
      <c r="EG42" s="335" t="str">
        <f>IFERROR(IF('BHPC MANAGER'!$EE42="","",INDEX(inventory[ESISTENZA],MATCH('BHPC MANAGER'!$EE42,inventory[SKU],0))),0)</f>
        <v/>
      </c>
      <c r="EH42" s="336" t="s">
        <v>241</v>
      </c>
      <c r="EI42" s="336" t="str">
        <f t="shared" si="4"/>
        <v/>
      </c>
      <c r="EJ42" s="337" t="s">
        <v>241</v>
      </c>
      <c r="EK42" s="338" t="str">
        <f t="shared" si="5"/>
        <v/>
      </c>
      <c r="EO42" s="190" t="str">
        <f t="array" ref="EO42">IFERROR(INDEX(orderData[order_no],SMALL(IF(ISNUMBER(MATCH(orderData[status],$EO$7,0)),MATCH(ROW(orderData[order_no]),ROW(orderData[order_no])),""),ROWS($A$15:A47))),"")</f>
        <v/>
      </c>
    </row>
    <row r="43" spans="10:228" ht="15" customHeight="1" x14ac:dyDescent="0.35">
      <c r="L43" s="280" t="str">
        <f t="array" ref="L43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3" s="281" t="str">
        <f t="array" ref="M43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3" s="282" t="str">
        <f t="array" ref="N43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3" s="283" t="str">
        <f t="array" ref="O43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3" s="284" t="str">
        <f t="array" ref="P43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3" s="285" t="str">
        <f t="array" ref="Q43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3" s="286" t="str">
        <f t="array" ref="R43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3" s="345" t="str">
        <f t="array" ref="S43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3" s="287" t="str">
        <f t="array" ref="T43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3" s="282" t="str">
        <f t="array" ref="U43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3" s="287" t="str">
        <f t="array" ref="V43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3" s="384" t="str">
        <f t="array" ref="W43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G43" s="190"/>
      <c r="BN43" s="425"/>
      <c r="BO43" s="263"/>
      <c r="BZ43" s="296"/>
      <c r="CA43" s="297" t="str">
        <f>IFERROR(IF(BZ43="","",INDEX(productData[description],MATCH(BZ43,productData[sku],0))),"")</f>
        <v/>
      </c>
      <c r="CB43" s="298"/>
      <c r="CC43" s="413"/>
      <c r="CD43" s="307"/>
      <c r="CE43" s="417"/>
      <c r="CF43" s="300"/>
      <c r="CG43" s="301" t="str">
        <f>IFERROR(ROUNDUP(CB43/INDEX(productData[units_per_carton],MATCH(BZ43,productData[sku],0)),0),"")</f>
        <v/>
      </c>
      <c r="CH43" s="302" t="str">
        <f>IFERROR(ROUNDUP(CD43/INDEX(productData[units_per_carton],MATCH(BZ43,productData[sku],0)),0),"")</f>
        <v/>
      </c>
      <c r="CI43" s="302" t="str">
        <f>IFERROR(ROUNDUP(CF43/INDEX(productData[units_per_carton],MATCH(BZ43,productData[sku])),0),"")</f>
        <v/>
      </c>
      <c r="CJ43" s="302" t="str">
        <f>IFERROR(((CB43+CD43+CF43)/INDEX(productData[units_per_carton],MATCH(BZ43,productData[sku],0)))*INDEX(productData[net_weight],MATCH(BZ43,productData[sku],0)),"")</f>
        <v/>
      </c>
      <c r="CK43" s="302" t="str">
        <f>IFERROR(((CB43+CD43+CF43)/INDEX(productData[units_per_carton],MATCH(BZ43,productData[sku],0)))*INDEX(productData[gross_weight],MATCH(BZ43,productData[sku],0)),"")</f>
        <v/>
      </c>
      <c r="CL43" s="406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03" t="str">
        <f>IFERROR(INDEX(productData[category],MATCH(BZ43,productData[sku],0)),"")</f>
        <v/>
      </c>
      <c r="CN43" s="303" t="str">
        <f>IFERROR(INDEX(productData[size1],MATCH(BZ43,productData[sku],0)),"")</f>
        <v/>
      </c>
      <c r="CO43" s="304" t="str">
        <f>IFERROR(INDEX(productData[hs_code],MATCH(BZ43,productData[sku],0)),"")</f>
        <v/>
      </c>
      <c r="CP43" s="357" t="str">
        <f>IFERROR(INDEX(productData[sku_geko],MATCH(BZ43,productData[sku],0)),"")</f>
        <v/>
      </c>
      <c r="CQ43" s="300"/>
      <c r="CR43" s="375" t="str">
        <f>IFERROR(IF(BZ43="","",IF($BX$15="SALE",INDEX(inventory[COSTO UNITARIO],MATCH(BZ43,inventory[SKU],0)),IF($BX$15="SAMPLING",INDEX(inventory[COSTO UNITARIO],MATCH(BZ43,inventory[SKU],0)),""))),"")</f>
        <v/>
      </c>
      <c r="CS43" s="375" t="str">
        <f t="shared" si="6"/>
        <v/>
      </c>
      <c r="CT43" s="422" t="str">
        <f t="shared" si="7"/>
        <v/>
      </c>
      <c r="CU43" s="349" t="str">
        <f t="shared" si="3"/>
        <v/>
      </c>
      <c r="CV43" s="246"/>
      <c r="CW43" s="246"/>
      <c r="CX43" s="246"/>
      <c r="CY43" s="246"/>
      <c r="CZ43" s="246"/>
      <c r="DA43" s="246"/>
      <c r="DB43" s="246" t="str">
        <f>IFERROR(VLOOKUP(BZ43,productData[],22,FALSE),"")</f>
        <v/>
      </c>
      <c r="DH43" s="190"/>
      <c r="EE43" s="329" t="str">
        <f t="array" ref="EE43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/>
      </c>
      <c r="EF43" s="493" t="str">
        <f t="array" ref="EF43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/>
      </c>
      <c r="EG43" s="330" t="str">
        <f>IFERROR(IF('BHPC MANAGER'!$EE43="","",INDEX(inventory[ESISTENZA],MATCH('BHPC MANAGER'!$EE43,inventory[SKU],0))),0)</f>
        <v/>
      </c>
      <c r="EH43" s="331" t="s">
        <v>241</v>
      </c>
      <c r="EI43" s="331" t="str">
        <f t="shared" si="4"/>
        <v/>
      </c>
      <c r="EJ43" s="332" t="s">
        <v>241</v>
      </c>
      <c r="EK43" s="333" t="str">
        <f t="shared" si="5"/>
        <v/>
      </c>
      <c r="EO43" s="190" t="str">
        <f t="array" ref="EO43">IFERROR(INDEX(orderData[order_no],SMALL(IF(ISNUMBER(MATCH(orderData[status],$EO$7,0)),MATCH(ROW(orderData[order_no]),ROW(orderData[order_no])),""),ROWS($A$15:A48))),"")</f>
        <v/>
      </c>
    </row>
    <row r="44" spans="10:228" ht="15" customHeight="1" x14ac:dyDescent="0.35">
      <c r="L44" s="280" t="str">
        <f t="array" ref="L44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4" s="281" t="str">
        <f t="array" ref="M44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4" s="282" t="str">
        <f t="array" ref="N44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4" s="283" t="str">
        <f t="array" ref="O44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4" s="284" t="str">
        <f t="array" ref="P44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4" s="285" t="str">
        <f t="array" ref="Q44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4" s="286" t="str">
        <f t="array" ref="R44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4" s="345" t="str">
        <f t="array" ref="S44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4" s="287" t="str">
        <f t="array" ref="T44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4" s="282" t="str">
        <f t="array" ref="U44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4" s="287" t="str">
        <f t="array" ref="V44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4" s="384" t="str">
        <f t="array" ref="W44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4" s="425"/>
      <c r="BO44" s="263"/>
      <c r="BZ44" s="296"/>
      <c r="CA44" s="297" t="str">
        <f>IFERROR(IF(BZ44="","",INDEX(productData[description],MATCH(BZ44,productData[sku],0))),"")</f>
        <v/>
      </c>
      <c r="CB44" s="299"/>
      <c r="CC44" s="413"/>
      <c r="CD44" s="306"/>
      <c r="CE44" s="417"/>
      <c r="CF44" s="300"/>
      <c r="CG44" s="301" t="str">
        <f>IFERROR(ROUNDUP(CB44/INDEX(productData[units_per_carton],MATCH(BZ44,productData[sku],0)),0),"")</f>
        <v/>
      </c>
      <c r="CH44" s="302" t="str">
        <f>IFERROR(ROUNDUP(CD44/INDEX(productData[units_per_carton],MATCH(BZ44,productData[sku],0)),0),"")</f>
        <v/>
      </c>
      <c r="CI44" s="302" t="str">
        <f>IFERROR(ROUNDUP(CF44/INDEX(productData[units_per_carton],MATCH(BZ44,productData[sku])),0),"")</f>
        <v/>
      </c>
      <c r="CJ44" s="302" t="str">
        <f>IFERROR(((CB44+CD44+CF44)/INDEX(productData[units_per_carton],MATCH(BZ44,productData[sku],0)))*INDEX(productData[net_weight],MATCH(BZ44,productData[sku],0)),"")</f>
        <v/>
      </c>
      <c r="CK44" s="302" t="str">
        <f>IFERROR(((CB44+CD44+CF44)/INDEX(productData[units_per_carton],MATCH(BZ44,productData[sku],0)))*INDEX(productData[gross_weight],MATCH(BZ44,productData[sku],0)),"")</f>
        <v/>
      </c>
      <c r="CL44" s="406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03" t="str">
        <f>IFERROR(INDEX(productData[category],MATCH(BZ44,productData[sku],0)),"")</f>
        <v/>
      </c>
      <c r="CN44" s="303" t="str">
        <f>IFERROR(INDEX(productData[size1],MATCH(BZ44,productData[sku],0)),"")</f>
        <v/>
      </c>
      <c r="CO44" s="304" t="str">
        <f>IFERROR(INDEX(productData[hs_code],MATCH(BZ44,productData[sku],0)),"")</f>
        <v/>
      </c>
      <c r="CP44" s="357" t="str">
        <f>IFERROR(INDEX(productData[sku_geko],MATCH(BZ44,productData[sku],0)),"")</f>
        <v/>
      </c>
      <c r="CQ44" s="300"/>
      <c r="CR44" s="375" t="str">
        <f>IFERROR(IF(BZ44="","",IF($BX$15="SALE",INDEX(inventory[COSTO UNITARIO],MATCH(BZ44,inventory[SKU],0)),IF($BX$15="SAMPLING",INDEX(inventory[COSTO UNITARIO],MATCH(BZ44,inventory[SKU],0)),""))),"")</f>
        <v/>
      </c>
      <c r="CS44" s="375" t="str">
        <f t="shared" si="6"/>
        <v/>
      </c>
      <c r="CT44" s="422" t="str">
        <f t="shared" si="7"/>
        <v/>
      </c>
      <c r="CU44" s="349" t="str">
        <f t="shared" si="3"/>
        <v/>
      </c>
      <c r="CV44" s="246"/>
      <c r="CW44" s="246"/>
      <c r="CX44" s="246"/>
      <c r="CY44" s="246"/>
      <c r="CZ44" s="246"/>
      <c r="DA44" s="246"/>
      <c r="DB44" s="246" t="str">
        <f>IFERROR(VLOOKUP(BZ44,productData[],22,FALSE),"")</f>
        <v/>
      </c>
      <c r="DH44" s="190"/>
      <c r="EE44" s="334" t="str">
        <f t="array" ref="EE44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/>
      </c>
      <c r="EF44" s="494" t="str">
        <f t="array" ref="EF44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/>
      </c>
      <c r="EG44" s="335" t="str">
        <f>IFERROR(IF('BHPC MANAGER'!$EE44="","",INDEX(inventory[ESISTENZA],MATCH('BHPC MANAGER'!$EE44,inventory[SKU],0))),0)</f>
        <v/>
      </c>
      <c r="EH44" s="336" t="s">
        <v>241</v>
      </c>
      <c r="EI44" s="336" t="str">
        <f t="shared" si="4"/>
        <v/>
      </c>
      <c r="EJ44" s="337" t="s">
        <v>241</v>
      </c>
      <c r="EK44" s="338" t="str">
        <f t="shared" si="5"/>
        <v/>
      </c>
      <c r="EO44" s="190" t="str">
        <f t="array" ref="EO44">IFERROR(INDEX(orderData[order_no],SMALL(IF(ISNUMBER(MATCH(orderData[status],$EO$7,0)),MATCH(ROW(orderData[order_no]),ROW(orderData[order_no])),""),ROWS($A$15:A49))),"")</f>
        <v/>
      </c>
    </row>
    <row r="45" spans="10:228" ht="15" customHeight="1" x14ac:dyDescent="0.35">
      <c r="L45" s="280" t="str">
        <f t="array" ref="L45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5" s="281" t="str">
        <f t="array" ref="M45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5" s="282" t="str">
        <f t="array" ref="N45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5" s="283" t="str">
        <f t="array" ref="O45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5" s="284" t="str">
        <f t="array" ref="P45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5" s="285" t="str">
        <f t="array" ref="Q45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5" s="286" t="str">
        <f t="array" ref="R45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5" s="345" t="str">
        <f t="array" ref="S45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5" s="287" t="str">
        <f t="array" ref="T45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5" s="282" t="str">
        <f t="array" ref="U45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5" s="287" t="str">
        <f t="array" ref="V45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5" s="384" t="str">
        <f t="array" ref="W45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N45" s="425"/>
      <c r="BO45" s="263"/>
      <c r="BZ45" s="296"/>
      <c r="CA45" s="297" t="str">
        <f>IFERROR(IF(BZ45="","",INDEX(productData[description],MATCH(BZ45,productData[sku],0))),"")</f>
        <v/>
      </c>
      <c r="CB45" s="299"/>
      <c r="CC45" s="413"/>
      <c r="CD45" s="306"/>
      <c r="CE45" s="417"/>
      <c r="CF45" s="300"/>
      <c r="CG45" s="301" t="str">
        <f>IFERROR(ROUNDUP(CB45/INDEX(productData[units_per_carton],MATCH(BZ45,productData[sku],0)),0),"")</f>
        <v/>
      </c>
      <c r="CH45" s="302" t="str">
        <f>IFERROR(ROUNDUP(CD45/INDEX(productData[units_per_carton],MATCH(BZ45,productData[sku],0)),0),"")</f>
        <v/>
      </c>
      <c r="CI45" s="302" t="str">
        <f>IFERROR(ROUNDUP(CF45/INDEX(productData[units_per_carton],MATCH(BZ45,productData[sku])),0),"")</f>
        <v/>
      </c>
      <c r="CJ45" s="302" t="str">
        <f>IFERROR(((CB45+CD45+CF45)/INDEX(productData[units_per_carton],MATCH(BZ45,productData[sku],0)))*INDEX(productData[net_weight],MATCH(BZ45,productData[sku],0)),"")</f>
        <v/>
      </c>
      <c r="CK45" s="302" t="str">
        <f>IFERROR(((CB45+CD45+CF45)/INDEX(productData[units_per_carton],MATCH(BZ45,productData[sku],0)))*INDEX(productData[gross_weight],MATCH(BZ45,productData[sku],0)),"")</f>
        <v/>
      </c>
      <c r="CL45" s="406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03" t="str">
        <f>IFERROR(INDEX(productData[category],MATCH(BZ45,productData[sku],0)),"")</f>
        <v/>
      </c>
      <c r="CN45" s="303" t="str">
        <f>IFERROR(INDEX(productData[size1],MATCH(BZ45,productData[sku],0)),"")</f>
        <v/>
      </c>
      <c r="CO45" s="304" t="str">
        <f>IFERROR(INDEX(productData[hs_code],MATCH(BZ45,productData[sku],0)),"")</f>
        <v/>
      </c>
      <c r="CP45" s="357" t="str">
        <f>IFERROR(INDEX(productData[sku_geko],MATCH(BZ45,productData[sku],0)),"")</f>
        <v/>
      </c>
      <c r="CQ45" s="300"/>
      <c r="CR45" s="375" t="str">
        <f>IFERROR(IF(BZ45="","",IF($BX$15="SALE",INDEX(inventory[COSTO UNITARIO],MATCH(BZ45,inventory[SKU],0)),IF($BX$15="SAMPLING",INDEX(inventory[COSTO UNITARIO],MATCH(BZ45,inventory[SKU],0)),""))),"")</f>
        <v/>
      </c>
      <c r="CS45" s="375" t="str">
        <f t="shared" si="6"/>
        <v/>
      </c>
      <c r="CT45" s="422" t="str">
        <f t="shared" si="7"/>
        <v/>
      </c>
      <c r="CU45" s="349" t="str">
        <f t="shared" si="3"/>
        <v/>
      </c>
      <c r="CV45" s="246"/>
      <c r="CW45" s="246"/>
      <c r="CX45" s="246"/>
      <c r="CY45" s="246"/>
      <c r="CZ45" s="246"/>
      <c r="DA45" s="246"/>
      <c r="DB45" s="246" t="str">
        <f>IFERROR(VLOOKUP(BZ45,productData[],22,FALSE),"")</f>
        <v/>
      </c>
      <c r="DH45" s="190"/>
      <c r="EE45" s="329" t="str">
        <f t="array" ref="EE45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/>
      </c>
      <c r="EF45" s="493" t="str">
        <f t="array" ref="EF45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/>
      </c>
      <c r="EG45" s="330" t="str">
        <f>IFERROR(IF('BHPC MANAGER'!$EE45="","",INDEX(inventory[ESISTENZA],MATCH('BHPC MANAGER'!$EE45,inventory[SKU],0))),0)</f>
        <v/>
      </c>
      <c r="EH45" s="331" t="s">
        <v>241</v>
      </c>
      <c r="EI45" s="331" t="str">
        <f t="shared" si="4"/>
        <v/>
      </c>
      <c r="EJ45" s="332" t="s">
        <v>241</v>
      </c>
      <c r="EK45" s="333" t="str">
        <f t="shared" si="5"/>
        <v/>
      </c>
      <c r="EO45" s="190" t="str">
        <f t="array" ref="EO45">IFERROR(INDEX(orderData[order_no],SMALL(IF(ISNUMBER(MATCH(orderData[status],$EO$7,0)),MATCH(ROW(orderData[order_no]),ROW(orderData[order_no])),""),ROWS($A$15:A50))),"")</f>
        <v/>
      </c>
    </row>
    <row r="46" spans="10:228" ht="15" customHeight="1" x14ac:dyDescent="0.35">
      <c r="L46" s="280" t="str">
        <f t="array" ref="L46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6" s="281" t="str">
        <f t="array" ref="M46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6" s="282" t="str">
        <f t="array" ref="N46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6" s="283" t="str">
        <f t="array" ref="O46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6" s="284" t="str">
        <f t="array" ref="P46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6" s="285" t="str">
        <f t="array" ref="Q46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6" s="286" t="str">
        <f t="array" ref="R46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6" s="345" t="str">
        <f t="array" ref="S46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6" s="287" t="str">
        <f t="array" ref="T46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6" s="282" t="str">
        <f t="array" ref="U46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6" s="287" t="str">
        <f t="array" ref="V46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6" s="384" t="str">
        <f t="array" ref="W46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N46" s="425"/>
      <c r="BO46" s="263"/>
      <c r="BZ46" s="310"/>
      <c r="CA46" s="297" t="str">
        <f>IFERROR(IF(BZ46="","",INDEX(productData[description],MATCH(BZ46,productData[sku],0))),"")</f>
        <v/>
      </c>
      <c r="CB46" s="299"/>
      <c r="CC46" s="413"/>
      <c r="CD46" s="307"/>
      <c r="CE46" s="417"/>
      <c r="CF46" s="300"/>
      <c r="CG46" s="301" t="str">
        <f>IFERROR(ROUNDUP(CB46/INDEX(productData[units_per_carton],MATCH(BZ46,productData[sku],0)),0),"")</f>
        <v/>
      </c>
      <c r="CH46" s="302" t="str">
        <f>IFERROR(ROUNDUP(CD46/INDEX(productData[units_per_carton],MATCH(BZ46,productData[sku],0)),0),"")</f>
        <v/>
      </c>
      <c r="CI46" s="302" t="str">
        <f>IFERROR(ROUNDUP(CF46/INDEX(productData[units_per_carton],MATCH(BZ46,productData[sku])),0),"")</f>
        <v/>
      </c>
      <c r="CJ46" s="302" t="str">
        <f>IFERROR(((CB46+CD46+CF46)/INDEX(productData[units_per_carton],MATCH(BZ46,productData[sku],0)))*INDEX(productData[net_weight],MATCH(BZ46,productData[sku],0)),"")</f>
        <v/>
      </c>
      <c r="CK46" s="302" t="str">
        <f>IFERROR(((CB46+CD46+CF46)/INDEX(productData[units_per_carton],MATCH(BZ46,productData[sku],0)))*INDEX(productData[gross_weight],MATCH(BZ46,productData[sku],0)),"")</f>
        <v/>
      </c>
      <c r="CL46" s="406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03" t="str">
        <f>IFERROR(INDEX(productData[category],MATCH(BZ46,productData[sku],0)),"")</f>
        <v/>
      </c>
      <c r="CN46" s="303" t="str">
        <f>IFERROR(INDEX(productData[size1],MATCH(BZ46,productData[sku],0)),"")</f>
        <v/>
      </c>
      <c r="CO46" s="304" t="str">
        <f>IFERROR(INDEX(productData[hs_code],MATCH(BZ46,productData[sku],0)),"")</f>
        <v/>
      </c>
      <c r="CP46" s="357" t="str">
        <f>IFERROR(INDEX(productData[sku_geko],MATCH(BZ46,productData[sku],0)),"")</f>
        <v/>
      </c>
      <c r="CQ46" s="300"/>
      <c r="CR46" s="375" t="str">
        <f>IFERROR(IF(BZ46="","",IF($BX$15="SALE",INDEX(inventory[COSTO UNITARIO],MATCH(BZ46,inventory[SKU],0)),IF($BX$15="SAMPLING",INDEX(inventory[COSTO UNITARIO],MATCH(BZ46,inventory[SKU],0)),""))),"")</f>
        <v/>
      </c>
      <c r="CS46" s="375" t="str">
        <f t="shared" si="6"/>
        <v/>
      </c>
      <c r="CT46" s="422" t="str">
        <f t="shared" si="7"/>
        <v/>
      </c>
      <c r="CU46" s="349" t="str">
        <f t="shared" si="3"/>
        <v/>
      </c>
      <c r="CV46" s="246"/>
      <c r="CW46" s="271"/>
      <c r="CX46" s="246"/>
      <c r="CY46" s="246"/>
      <c r="CZ46" s="246"/>
      <c r="DA46" s="246"/>
      <c r="DB46" s="246" t="str">
        <f>IFERROR(VLOOKUP(BZ46,productData[],22,FALSE),"")</f>
        <v/>
      </c>
      <c r="EE46" s="334" t="str">
        <f t="array" ref="EE46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/>
      </c>
      <c r="EF46" s="494" t="str">
        <f t="array" ref="EF46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/>
      </c>
      <c r="EG46" s="335" t="str">
        <f>IFERROR(IF('BHPC MANAGER'!$EE46="","",INDEX(inventory[ESISTENZA],MATCH('BHPC MANAGER'!$EE46,inventory[SKU],0))),0)</f>
        <v/>
      </c>
      <c r="EH46" s="336" t="s">
        <v>241</v>
      </c>
      <c r="EI46" s="336" t="str">
        <f t="shared" si="4"/>
        <v/>
      </c>
      <c r="EJ46" s="337" t="s">
        <v>241</v>
      </c>
      <c r="EK46" s="338" t="str">
        <f t="shared" si="5"/>
        <v/>
      </c>
      <c r="EO46" s="190" t="str">
        <f t="array" ref="EO46">IFERROR(INDEX(orderData[order_no],SMALL(IF(ISNUMBER(MATCH(orderData[status],$EO$7,0)),MATCH(ROW(orderData[order_no]),ROW(orderData[order_no])),""),ROWS($A$15:A51))),"")</f>
        <v/>
      </c>
    </row>
    <row r="47" spans="10:228" ht="15" customHeight="1" x14ac:dyDescent="0.35">
      <c r="J47" s="238"/>
      <c r="K47" s="238"/>
      <c r="L47" s="280" t="str">
        <f t="array" ref="L47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7" s="281" t="str">
        <f t="array" ref="M47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7" s="282" t="str">
        <f t="array" ref="N47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7" s="283" t="str">
        <f t="array" ref="O47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7" s="284" t="str">
        <f t="array" ref="P47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7" s="285" t="str">
        <f t="array" ref="Q47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7" s="286" t="str">
        <f t="array" ref="R47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7" s="345" t="str">
        <f t="array" ref="S47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7" s="287" t="str">
        <f t="array" ref="T47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7" s="282" t="str">
        <f t="array" ref="U47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7" s="287" t="str">
        <f t="array" ref="V47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7" s="384" t="str">
        <f t="array" ref="W47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7" s="190"/>
      <c r="BN47" s="425"/>
      <c r="BO47" s="263"/>
      <c r="BZ47" s="310"/>
      <c r="CA47" s="297" t="str">
        <f>IFERROR(IF(BZ47="","",INDEX(productData[description],MATCH(BZ47,productData[sku],0))),"")</f>
        <v/>
      </c>
      <c r="CB47" s="299"/>
      <c r="CC47" s="413"/>
      <c r="CD47" s="307"/>
      <c r="CE47" s="417"/>
      <c r="CF47" s="300"/>
      <c r="CG47" s="301" t="str">
        <f>IFERROR(ROUNDUP(CB47/INDEX(productData[units_per_carton],MATCH(BZ47,productData[sku],0)),0),"")</f>
        <v/>
      </c>
      <c r="CH47" s="302" t="str">
        <f>IFERROR(ROUNDUP(CD47/INDEX(productData[units_per_carton],MATCH(BZ47,productData[sku],0)),0),"")</f>
        <v/>
      </c>
      <c r="CI47" s="302" t="str">
        <f>IFERROR(ROUNDUP(CF47/INDEX(productData[units_per_carton],MATCH(BZ47,productData[sku])),0),"")</f>
        <v/>
      </c>
      <c r="CJ47" s="302" t="str">
        <f>IFERROR(((CB47+CD47+CF47)/INDEX(productData[units_per_carton],MATCH(BZ47,productData[sku],0)))*INDEX(productData[net_weight],MATCH(BZ47,productData[sku],0)),"")</f>
        <v/>
      </c>
      <c r="CK47" s="302" t="str">
        <f>IFERROR(((CB47+CD47+CF47)/INDEX(productData[units_per_carton],MATCH(BZ47,productData[sku],0)))*INDEX(productData[gross_weight],MATCH(BZ47,productData[sku],0)),"")</f>
        <v/>
      </c>
      <c r="CL47" s="406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03" t="str">
        <f>IFERROR(INDEX(productData[category],MATCH(BZ47,productData[sku],0)),"")</f>
        <v/>
      </c>
      <c r="CN47" s="303" t="str">
        <f>IFERROR(INDEX(productData[size1],MATCH(BZ47,productData[sku],0)),"")</f>
        <v/>
      </c>
      <c r="CO47" s="304" t="str">
        <f>IFERROR(INDEX(productData[hs_code],MATCH(BZ47,productData[sku],0)),"")</f>
        <v/>
      </c>
      <c r="CP47" s="357" t="str">
        <f>IFERROR(INDEX(productData[sku_geko],MATCH(BZ47,productData[sku],0)),"")</f>
        <v/>
      </c>
      <c r="CQ47" s="300"/>
      <c r="CR47" s="375" t="str">
        <f>IFERROR(IF(BZ47="","",IF($BX$15="SALE",INDEX(inventory[COSTO UNITARIO],MATCH(BZ47,inventory[SKU],0)),IF($BX$15="SAMPLING",INDEX(inventory[COSTO UNITARIO],MATCH(BZ47,inventory[SKU],0)),""))),"")</f>
        <v/>
      </c>
      <c r="CS47" s="375" t="str">
        <f t="shared" si="6"/>
        <v/>
      </c>
      <c r="CT47" s="422" t="str">
        <f t="shared" si="7"/>
        <v/>
      </c>
      <c r="CU47" s="349" t="str">
        <f t="shared" si="3"/>
        <v/>
      </c>
      <c r="CV47" s="246"/>
      <c r="CW47" s="246"/>
      <c r="CX47" s="246"/>
      <c r="CY47" s="246"/>
      <c r="CZ47" s="246"/>
      <c r="DA47" s="246"/>
      <c r="DB47" s="246" t="str">
        <f>IFERROR(VLOOKUP(BZ47,productData[],22,FALSE),"")</f>
        <v/>
      </c>
      <c r="EE47" s="329" t="str">
        <f t="array" ref="EE47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/>
      </c>
      <c r="EF47" s="493" t="str">
        <f t="array" ref="EF47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/>
      </c>
      <c r="EG47" s="330" t="str">
        <f>IFERROR(IF('BHPC MANAGER'!$EE47="","",INDEX(inventory[ESISTENZA],MATCH('BHPC MANAGER'!$EE47,inventory[SKU],0))),0)</f>
        <v/>
      </c>
      <c r="EH47" s="331" t="s">
        <v>241</v>
      </c>
      <c r="EI47" s="331" t="str">
        <f t="shared" si="4"/>
        <v/>
      </c>
      <c r="EJ47" s="332" t="s">
        <v>241</v>
      </c>
      <c r="EK47" s="333" t="str">
        <f t="shared" si="5"/>
        <v/>
      </c>
      <c r="EO47" s="190" t="str">
        <f t="array" ref="EO47">IFERROR(INDEX(orderData[order_no],SMALL(IF(ISNUMBER(MATCH(orderData[status],$EO$7,0)),MATCH(ROW(orderData[order_no]),ROW(orderData[order_no])),""),ROWS($A$15:A52))),"")</f>
        <v/>
      </c>
    </row>
    <row r="48" spans="10:228" ht="15" customHeight="1" x14ac:dyDescent="0.35">
      <c r="J48" s="238"/>
      <c r="K48" s="238"/>
      <c r="L48" s="280" t="str">
        <f t="array" ref="L48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48" s="281" t="str">
        <f t="array" ref="M48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48" s="282" t="str">
        <f t="array" ref="N48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48" s="283" t="str">
        <f t="array" ref="O48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48" s="284" t="str">
        <f t="array" ref="P48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48" s="285" t="str">
        <f t="array" ref="Q48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48" s="286" t="str">
        <f t="array" ref="R48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48" s="345" t="str">
        <f t="array" ref="S48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48" s="287" t="str">
        <f t="array" ref="T48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48" s="282" t="str">
        <f t="array" ref="U48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48" s="287" t="str">
        <f t="array" ref="V48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48" s="384" t="str">
        <f t="array" ref="W48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BG48" s="190"/>
      <c r="BN48" s="425"/>
      <c r="BO48" s="263"/>
      <c r="BZ48" s="308"/>
      <c r="CA48" s="297" t="str">
        <f>IFERROR(IF(BZ48="","",INDEX(productData[description],MATCH(BZ48,productData[sku],0))),"")</f>
        <v/>
      </c>
      <c r="CB48" s="299"/>
      <c r="CC48" s="412"/>
      <c r="CD48" s="307"/>
      <c r="CE48" s="417"/>
      <c r="CF48" s="300"/>
      <c r="CG48" s="301" t="str">
        <f>IFERROR(ROUNDUP(CB48/INDEX(productData[units_per_carton],MATCH(BZ48,productData[sku],0)),0),"")</f>
        <v/>
      </c>
      <c r="CH48" s="302" t="str">
        <f>IFERROR(ROUNDUP(CD48/INDEX(productData[units_per_carton],MATCH(BZ48,productData[sku],0)),0),"")</f>
        <v/>
      </c>
      <c r="CI48" s="302" t="str">
        <f>IFERROR(ROUNDUP(CF48/INDEX(productData[units_per_carton],MATCH(BZ48,productData[sku])),0),"")</f>
        <v/>
      </c>
      <c r="CJ48" s="302" t="str">
        <f>IFERROR(((CB48+CD48+CF48)/INDEX(productData[units_per_carton],MATCH(BZ48,productData[sku],0)))*INDEX(productData[net_weight],MATCH(BZ48,productData[sku],0)),"")</f>
        <v/>
      </c>
      <c r="CK48" s="302" t="str">
        <f>IFERROR(((CB48+CD48+CF48)/INDEX(productData[units_per_carton],MATCH(BZ48,productData[sku],0)))*INDEX(productData[gross_weight],MATCH(BZ48,productData[sku],0)),"")</f>
        <v/>
      </c>
      <c r="CL48" s="406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03" t="str">
        <f>IFERROR(INDEX(productData[category],MATCH(BZ48,productData[sku],0)),"")</f>
        <v/>
      </c>
      <c r="CN48" s="303" t="str">
        <f>IFERROR(INDEX(productData[size1],MATCH(BZ48,productData[sku],0)),"")</f>
        <v/>
      </c>
      <c r="CO48" s="304" t="str">
        <f>IFERROR(INDEX(productData[hs_code],MATCH(BZ48,productData[sku],0)),"")</f>
        <v/>
      </c>
      <c r="CP48" s="357" t="str">
        <f>IFERROR(INDEX(productData[sku_geko],MATCH(BZ48,productData[sku],0)),"")</f>
        <v/>
      </c>
      <c r="CQ48" s="300"/>
      <c r="CR48" s="375" t="str">
        <f>IFERROR(IF(BZ48="","",IF($BX$15="SALE",INDEX(inventory[COSTO UNITARIO],MATCH(BZ48,inventory[SKU],0)),IF($BX$15="SAMPLING",INDEX(inventory[COSTO UNITARIO],MATCH(BZ48,inventory[SKU],0)),""))),"")</f>
        <v/>
      </c>
      <c r="CS48" s="375" t="str">
        <f t="shared" si="6"/>
        <v/>
      </c>
      <c r="CT48" s="422" t="str">
        <f t="shared" si="7"/>
        <v/>
      </c>
      <c r="CU48" s="349" t="str">
        <f t="shared" si="3"/>
        <v/>
      </c>
      <c r="CV48" s="246"/>
      <c r="CW48" s="246"/>
      <c r="CX48" s="246"/>
      <c r="CY48" s="246"/>
      <c r="CZ48" s="246"/>
      <c r="DA48" s="246"/>
      <c r="DB48" s="246" t="str">
        <f>IFERROR(VLOOKUP(BZ48,productData[],22,FALSE),"")</f>
        <v/>
      </c>
      <c r="EE48" s="334" t="str">
        <f t="array" ref="EE48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/>
      </c>
      <c r="EF48" s="494" t="str">
        <f t="array" ref="EF48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/>
      </c>
      <c r="EG48" s="335" t="str">
        <f>IFERROR(IF('BHPC MANAGER'!$EE48="","",INDEX(inventory[ESISTENZA],MATCH('BHPC MANAGER'!$EE48,inventory[SKU],0))),0)</f>
        <v/>
      </c>
      <c r="EH48" s="336" t="s">
        <v>241</v>
      </c>
      <c r="EI48" s="336" t="str">
        <f t="shared" si="4"/>
        <v/>
      </c>
      <c r="EJ48" s="337" t="s">
        <v>241</v>
      </c>
      <c r="EK48" s="338" t="str">
        <f t="shared" si="5"/>
        <v/>
      </c>
      <c r="EO48" s="190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35">
      <c r="J49" s="238"/>
      <c r="K49" s="238"/>
      <c r="L49" s="280" t="str">
        <f t="array" ref="L49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49" s="281" t="str">
        <f t="array" ref="M49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49" s="282" t="str">
        <f t="array" ref="N49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49" s="283" t="str">
        <f t="array" ref="O49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49" s="284" t="str">
        <f t="array" ref="P49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49" s="285" t="str">
        <f t="array" ref="Q49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49" s="286" t="str">
        <f t="array" ref="R49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49" s="345" t="str">
        <f t="array" ref="S49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49" s="287" t="str">
        <f t="array" ref="T49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49" s="282" t="str">
        <f t="array" ref="U49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49" s="287" t="str">
        <f t="array" ref="V49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49" s="384" t="str">
        <f t="array" ref="W49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BG49" s="190"/>
      <c r="BK49" s="261"/>
      <c r="BL49" s="262"/>
      <c r="BM49" s="263"/>
      <c r="BN49" s="262"/>
      <c r="BO49" s="263"/>
      <c r="BZ49" s="308"/>
      <c r="CA49" s="297" t="str">
        <f>IFERROR(IF(BZ49="","",INDEX(productData[description],MATCH(BZ49,productData[sku],0))),"")</f>
        <v/>
      </c>
      <c r="CB49" s="299"/>
      <c r="CC49" s="412"/>
      <c r="CD49" s="307"/>
      <c r="CE49" s="417"/>
      <c r="CF49" s="300"/>
      <c r="CG49" s="301" t="str">
        <f>IFERROR(ROUNDUP(CB49/INDEX(productData[units_per_carton],MATCH(BZ49,productData[sku],0)),0),"")</f>
        <v/>
      </c>
      <c r="CH49" s="302" t="str">
        <f>IFERROR(ROUNDUP(CD49/INDEX(productData[units_per_carton],MATCH(BZ49,productData[sku],0)),0),"")</f>
        <v/>
      </c>
      <c r="CI49" s="302" t="str">
        <f>IFERROR(ROUNDUP(CF49/INDEX(productData[units_per_carton],MATCH(BZ49,productData[sku])),0),"")</f>
        <v/>
      </c>
      <c r="CJ49" s="302" t="str">
        <f>IFERROR(((CB49+CD49+CF49)/INDEX(productData[units_per_carton],MATCH(BZ49,productData[sku],0)))*INDEX(productData[net_weight],MATCH(BZ49,productData[sku],0)),"")</f>
        <v/>
      </c>
      <c r="CK49" s="302" t="str">
        <f>IFERROR(((CB49+CD49+CF49)/INDEX(productData[units_per_carton],MATCH(BZ49,productData[sku],0)))*INDEX(productData[gross_weight],MATCH(BZ49,productData[sku],0)),"")</f>
        <v/>
      </c>
      <c r="CL49" s="406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03" t="str">
        <f>IFERROR(INDEX(productData[category],MATCH(BZ49,productData[sku],0)),"")</f>
        <v/>
      </c>
      <c r="CN49" s="303" t="str">
        <f>IFERROR(INDEX(productData[size1],MATCH(BZ49,productData[sku],0)),"")</f>
        <v/>
      </c>
      <c r="CO49" s="304" t="str">
        <f>IFERROR(INDEX(productData[hs_code],MATCH(BZ49,productData[sku],0)),"")</f>
        <v/>
      </c>
      <c r="CP49" s="357" t="str">
        <f>IFERROR(INDEX(productData[sku_geko],MATCH(BZ49,productData[sku],0)),"")</f>
        <v/>
      </c>
      <c r="CQ49" s="300"/>
      <c r="CR49" s="374" t="str">
        <f>IFERROR(IF(BZ49="","",IF($BX$15="SALE",INDEX(inventory[COSTO UNITARIO],MATCH(BZ49,inventory[SKU],0)),IF($BX$15="SAMPLING",INDEX(inventory[COSTO UNITARIO],MATCH(BZ49,inventory[SKU],0)),""))),"")</f>
        <v/>
      </c>
      <c r="CS49" s="374" t="str">
        <f t="shared" si="6"/>
        <v/>
      </c>
      <c r="CT49" s="422" t="str">
        <f t="shared" si="7"/>
        <v/>
      </c>
      <c r="CU49" s="349" t="str">
        <f t="shared" si="3"/>
        <v/>
      </c>
      <c r="CV49" s="246"/>
      <c r="CW49" s="246"/>
      <c r="CX49" s="246"/>
      <c r="CY49" s="246"/>
      <c r="CZ49" s="246"/>
      <c r="DA49" s="246"/>
      <c r="DB49" s="246" t="str">
        <f>IFERROR(VLOOKUP(BZ49,productData[],22,FALSE),"")</f>
        <v/>
      </c>
      <c r="EE49" s="329" t="str">
        <f t="array" ref="EE49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/>
      </c>
      <c r="EF49" s="493" t="str">
        <f t="array" ref="EF49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/>
      </c>
      <c r="EG49" s="330" t="str">
        <f>IFERROR(IF('BHPC MANAGER'!$EE49="","",INDEX(inventory[ESISTENZA],MATCH('BHPC MANAGER'!$EE49,inventory[SKU],0))),0)</f>
        <v/>
      </c>
      <c r="EH49" s="331" t="s">
        <v>241</v>
      </c>
      <c r="EI49" s="331" t="str">
        <f t="shared" si="4"/>
        <v/>
      </c>
      <c r="EJ49" s="332" t="s">
        <v>241</v>
      </c>
      <c r="EK49" s="333" t="str">
        <f t="shared" si="5"/>
        <v/>
      </c>
      <c r="EO49" s="190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35">
      <c r="J50" s="238"/>
      <c r="K50" s="238"/>
      <c r="L50" s="280" t="str">
        <f t="array" ref="L50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0" s="281" t="str">
        <f t="array" ref="M50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0" s="282" t="str">
        <f t="array" ref="N50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0" s="283" t="str">
        <f t="array" ref="O50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0" s="284" t="str">
        <f t="array" ref="P50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0" s="285" t="str">
        <f t="array" ref="Q50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0" s="286" t="str">
        <f t="array" ref="R50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0" s="345" t="str">
        <f t="array" ref="S50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0" s="287" t="str">
        <f t="array" ref="T50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0" s="282" t="str">
        <f t="array" ref="U50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0" s="287" t="str">
        <f t="array" ref="V50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0" s="384" t="str">
        <f t="array" ref="W50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0" s="271"/>
      <c r="AR50" s="271" t="s">
        <v>210</v>
      </c>
      <c r="BG50" s="190"/>
      <c r="BK50" s="261"/>
      <c r="BL50" s="262"/>
      <c r="BM50" s="263"/>
      <c r="BN50" s="262"/>
      <c r="BO50" s="263"/>
      <c r="BZ50" s="356"/>
      <c r="CA50" s="297" t="str">
        <f>IFERROR(IF(BZ50="","",INDEX(productData[description],MATCH(BZ50,productData[sku],0))),"")</f>
        <v/>
      </c>
      <c r="CB50" s="299"/>
      <c r="CC50" s="412"/>
      <c r="CD50" s="307"/>
      <c r="CE50" s="417"/>
      <c r="CF50" s="300"/>
      <c r="CG50" s="301" t="str">
        <f>IFERROR(ROUNDUP(CB50/INDEX(productData[units_per_carton],MATCH(BZ50,productData[sku],0)),0),"")</f>
        <v/>
      </c>
      <c r="CH50" s="302" t="str">
        <f>IFERROR(ROUNDUP(CD50/INDEX(productData[units_per_carton],MATCH(BZ50,productData[sku],0)),0),"")</f>
        <v/>
      </c>
      <c r="CI50" s="302" t="str">
        <f>IFERROR(ROUNDUP(CF50/INDEX(productData[units_per_carton],MATCH(BZ50,productData[sku])),0),"")</f>
        <v/>
      </c>
      <c r="CJ50" s="302" t="str">
        <f>IFERROR(((CB50+CD50+CF50)/INDEX(productData[units_per_carton],MATCH(BZ50,productData[sku],0)))*INDEX(productData[net_weight],MATCH(BZ50,productData[sku],0)),"")</f>
        <v/>
      </c>
      <c r="CK50" s="302" t="str">
        <f>IFERROR(((CB50+CD50+CF50)/INDEX(productData[units_per_carton],MATCH(BZ50,productData[sku],0)))*INDEX(productData[gross_weight],MATCH(BZ50,productData[sku],0)),"")</f>
        <v/>
      </c>
      <c r="CL50" s="406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03" t="str">
        <f>IFERROR(INDEX(productData[category],MATCH(BZ50,productData[sku],0)),"")</f>
        <v/>
      </c>
      <c r="CN50" s="303" t="str">
        <f>IFERROR(INDEX(productData[size1],MATCH(BZ50,productData[sku],0)),"")</f>
        <v/>
      </c>
      <c r="CO50" s="304" t="str">
        <f>IFERROR(INDEX(productData[hs_code],MATCH(BZ50,productData[sku],0)),"")</f>
        <v/>
      </c>
      <c r="CP50" s="357" t="str">
        <f>IFERROR(INDEX(productData[sku_geko],MATCH(BZ50,productData[sku],0)),"")</f>
        <v/>
      </c>
      <c r="CQ50" s="300"/>
      <c r="CR50" s="375" t="str">
        <f>IFERROR(IF(BZ50="","",IF($BX$15="SALE",INDEX(inventory[COSTO UNITARIO],MATCH(BZ50,inventory[SKU],0)),IF($BX$15="SAMPLING",INDEX(inventory[COSTO UNITARIO],MATCH(BZ50,inventory[SKU],0)),""))),"")</f>
        <v/>
      </c>
      <c r="CS50" s="375" t="str">
        <f t="shared" si="6"/>
        <v/>
      </c>
      <c r="CT50" s="422" t="str">
        <f t="shared" si="7"/>
        <v/>
      </c>
      <c r="CU50" s="349" t="str">
        <f t="shared" si="3"/>
        <v/>
      </c>
      <c r="CV50" s="246"/>
      <c r="CW50" s="246"/>
      <c r="CX50" s="246"/>
      <c r="CY50" s="246"/>
      <c r="CZ50" s="246"/>
      <c r="DA50" s="246"/>
      <c r="DB50" s="246" t="str">
        <f>IFERROR(VLOOKUP(BZ50,productData[],22,FALSE),"")</f>
        <v/>
      </c>
      <c r="EE50" s="334" t="str">
        <f t="array" ref="EE50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/>
      </c>
      <c r="EF50" s="494" t="str">
        <f t="array" ref="EF50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/>
      </c>
      <c r="EG50" s="335" t="str">
        <f>IFERROR(IF('BHPC MANAGER'!$EE50="","",INDEX(inventory[ESISTENZA],MATCH('BHPC MANAGER'!$EE50,inventory[SKU],0))),0)</f>
        <v/>
      </c>
      <c r="EH50" s="336" t="s">
        <v>241</v>
      </c>
      <c r="EI50" s="336" t="str">
        <f t="shared" si="4"/>
        <v/>
      </c>
      <c r="EJ50" s="337" t="s">
        <v>241</v>
      </c>
      <c r="EK50" s="338" t="str">
        <f t="shared" si="5"/>
        <v/>
      </c>
      <c r="EO50" s="190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35">
      <c r="J51" s="238"/>
      <c r="K51" s="238"/>
      <c r="L51" s="280" t="str">
        <f t="array" ref="L51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1" s="281" t="str">
        <f t="array" ref="M51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1" s="282" t="str">
        <f t="array" ref="N51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1" s="283" t="str">
        <f t="array" ref="O51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1" s="284" t="str">
        <f t="array" ref="P51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1" s="285" t="str">
        <f t="array" ref="Q51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1" s="286" t="str">
        <f t="array" ref="R51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1" s="345" t="str">
        <f t="array" ref="S51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1" s="287" t="str">
        <f t="array" ref="T51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1" s="282" t="str">
        <f t="array" ref="U51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1" s="287" t="str">
        <f t="array" ref="V51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1" s="384" t="str">
        <f t="array" ref="W51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1" s="246"/>
      <c r="AR51" s="246" t="s">
        <v>71</v>
      </c>
      <c r="BG51" s="190"/>
      <c r="BK51" s="261"/>
      <c r="BL51" s="262"/>
      <c r="BM51" s="263"/>
      <c r="BN51" s="262"/>
      <c r="BO51" s="263"/>
      <c r="BZ51" s="308"/>
      <c r="CA51" s="297" t="str">
        <f>IFERROR(IF(BZ51="","",INDEX(productData[description],MATCH(BZ51,productData[sku],0))),"")</f>
        <v/>
      </c>
      <c r="CB51" s="298"/>
      <c r="CC51" s="413"/>
      <c r="CD51" s="306"/>
      <c r="CE51" s="417"/>
      <c r="CF51" s="300"/>
      <c r="CG51" s="301" t="str">
        <f>IFERROR(ROUNDUP(CB51/INDEX(productData[units_per_carton],MATCH(BZ51,productData[sku],0)),0),"")</f>
        <v/>
      </c>
      <c r="CH51" s="302" t="str">
        <f>IFERROR(ROUNDUP(CD51/INDEX(productData[units_per_carton],MATCH(BZ51,productData[sku],0)),0),"")</f>
        <v/>
      </c>
      <c r="CI51" s="302" t="str">
        <f>IFERROR(ROUNDUP(CF51/INDEX(productData[units_per_carton],MATCH(BZ51,productData[sku])),0),"")</f>
        <v/>
      </c>
      <c r="CJ51" s="302" t="str">
        <f>IFERROR(((CB51+CD51+CF51)/INDEX(productData[units_per_carton],MATCH(BZ51,productData[sku],0)))*INDEX(productData[net_weight],MATCH(BZ51,productData[sku],0)),"")</f>
        <v/>
      </c>
      <c r="CK51" s="302" t="str">
        <f>IFERROR(((CB51+CD51+CF51)/INDEX(productData[units_per_carton],MATCH(BZ51,productData[sku],0)))*INDEX(productData[gross_weight],MATCH(BZ51,productData[sku],0)),"")</f>
        <v/>
      </c>
      <c r="CL51" s="406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03" t="str">
        <f>IFERROR(INDEX(productData[category],MATCH(BZ51,productData[sku],0)),"")</f>
        <v/>
      </c>
      <c r="CN51" s="303" t="str">
        <f>IFERROR(INDEX(productData[size1],MATCH(BZ51,productData[sku],0)),"")</f>
        <v/>
      </c>
      <c r="CO51" s="304" t="str">
        <f>IFERROR(INDEX(productData[hs_code],MATCH(BZ51,productData[sku],0)),"")</f>
        <v/>
      </c>
      <c r="CP51" s="357" t="str">
        <f>IFERROR(INDEX(productData[sku_geko],MATCH(BZ51,productData[sku],0)),"")</f>
        <v/>
      </c>
      <c r="CQ51" s="300"/>
      <c r="CR51" s="375" t="str">
        <f>IFERROR(IF(BZ51="","",IF($BX$15="SALE",INDEX(inventory[COSTO UNITARIO],MATCH(BZ51,inventory[SKU],0)),IF($BX$15="SAMPLING",INDEX(inventory[COSTO UNITARIO],MATCH(BZ51,inventory[SKU],0)),""))),"")</f>
        <v/>
      </c>
      <c r="CS51" s="375" t="str">
        <f t="shared" si="6"/>
        <v/>
      </c>
      <c r="CT51" s="422" t="str">
        <f t="shared" si="7"/>
        <v/>
      </c>
      <c r="CU51" s="349" t="str">
        <f t="shared" si="3"/>
        <v/>
      </c>
      <c r="CV51" s="246"/>
      <c r="CW51" s="246"/>
      <c r="CX51" s="246"/>
      <c r="CY51" s="246"/>
      <c r="CZ51" s="246"/>
      <c r="DA51" s="246"/>
      <c r="DB51" s="246" t="str">
        <f>IFERROR(VLOOKUP(BZ51,productData[],22,FALSE),"")</f>
        <v/>
      </c>
      <c r="EE51" s="329" t="str">
        <f t="array" ref="EE51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/>
      </c>
      <c r="EF51" s="493" t="str">
        <f t="array" ref="EF51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/>
      </c>
      <c r="EG51" s="330" t="str">
        <f>IFERROR(IF('BHPC MANAGER'!$EE51="","",INDEX(inventory[ESISTENZA],MATCH('BHPC MANAGER'!$EE51,inventory[SKU],0))),0)</f>
        <v/>
      </c>
      <c r="EH51" s="331" t="s">
        <v>241</v>
      </c>
      <c r="EI51" s="331" t="str">
        <f t="shared" si="4"/>
        <v/>
      </c>
      <c r="EJ51" s="332" t="s">
        <v>241</v>
      </c>
      <c r="EK51" s="333" t="str">
        <f t="shared" si="5"/>
        <v/>
      </c>
      <c r="EO51" s="190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35">
      <c r="J52" s="238"/>
      <c r="K52" s="238"/>
      <c r="L52" s="280" t="str">
        <f t="array" ref="L52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2" s="281" t="str">
        <f t="array" ref="M52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2" s="282" t="str">
        <f t="array" ref="N52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2" s="283" t="str">
        <f t="array" ref="O52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2" s="284" t="str">
        <f t="array" ref="P52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2" s="285" t="str">
        <f t="array" ref="Q52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2" s="286" t="str">
        <f t="array" ref="R52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2" s="345" t="str">
        <f t="array" ref="S52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2" s="287" t="str">
        <f t="array" ref="T52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2" s="282" t="str">
        <f t="array" ref="U52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2" s="287" t="str">
        <f t="array" ref="V52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2" s="384" t="str">
        <f t="array" ref="W52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2" s="246"/>
      <c r="AR52" s="246" t="s">
        <v>211</v>
      </c>
      <c r="BG52" s="190"/>
      <c r="BK52" s="261"/>
      <c r="BL52" s="262"/>
      <c r="BM52" s="263"/>
      <c r="BN52" s="262"/>
      <c r="BO52" s="263"/>
      <c r="BZ52" s="308"/>
      <c r="CA52" s="297" t="str">
        <f>IFERROR(IF(BZ52="","",INDEX(productData[description],MATCH(BZ52,productData[sku],0))),"")</f>
        <v/>
      </c>
      <c r="CB52" s="298"/>
      <c r="CC52" s="413"/>
      <c r="CD52" s="307"/>
      <c r="CE52" s="417"/>
      <c r="CF52" s="300"/>
      <c r="CG52" s="301" t="str">
        <f>IFERROR(ROUNDUP(CB52/INDEX(productData[units_per_carton],MATCH(BZ52,productData[sku],0)),0),"")</f>
        <v/>
      </c>
      <c r="CH52" s="302" t="str">
        <f>IFERROR(ROUNDUP(CD52/INDEX(productData[units_per_carton],MATCH(BZ52,productData[sku],0)),0),"")</f>
        <v/>
      </c>
      <c r="CI52" s="302" t="str">
        <f>IFERROR(ROUNDUP(CF52/INDEX(productData[units_per_carton],MATCH(BZ52,productData[sku])),0),"")</f>
        <v/>
      </c>
      <c r="CJ52" s="302" t="str">
        <f>IFERROR(((CB52+CD52+CF52)/INDEX(productData[units_per_carton],MATCH(BZ52,productData[sku],0)))*INDEX(productData[net_weight],MATCH(BZ52,productData[sku],0)),"")</f>
        <v/>
      </c>
      <c r="CK52" s="302" t="str">
        <f>IFERROR(((CB52+CD52+CF52)/INDEX(productData[units_per_carton],MATCH(BZ52,productData[sku],0)))*INDEX(productData[gross_weight],MATCH(BZ52,productData[sku],0)),"")</f>
        <v/>
      </c>
      <c r="CL52" s="406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03" t="str">
        <f>IFERROR(INDEX(productData[category],MATCH(BZ52,productData[sku],0)),"")</f>
        <v/>
      </c>
      <c r="CN52" s="303" t="str">
        <f>IFERROR(INDEX(productData[size1],MATCH(BZ52,productData[sku],0)),"")</f>
        <v/>
      </c>
      <c r="CO52" s="304" t="str">
        <f>IFERROR(INDEX(productData[hs_code],MATCH(BZ52,productData[sku],0)),"")</f>
        <v/>
      </c>
      <c r="CP52" s="357" t="str">
        <f>IFERROR(INDEX(productData[sku_geko],MATCH(BZ52,productData[sku],0)),"")</f>
        <v/>
      </c>
      <c r="CQ52" s="300"/>
      <c r="CR52" s="375" t="str">
        <f>IFERROR(IF(BZ52="","",IF($BX$15="SALE",INDEX(inventory[COSTO UNITARIO],MATCH(BZ52,inventory[SKU],0)),IF($BX$15="SAMPLING",INDEX(inventory[COSTO UNITARIO],MATCH(BZ52,inventory[SKU],0)),""))),"")</f>
        <v/>
      </c>
      <c r="CS52" s="375" t="str">
        <f t="shared" si="6"/>
        <v/>
      </c>
      <c r="CT52" s="422" t="str">
        <f t="shared" si="7"/>
        <v/>
      </c>
      <c r="CU52" s="349" t="str">
        <f t="shared" si="3"/>
        <v/>
      </c>
      <c r="CV52" s="246"/>
      <c r="CW52" s="246"/>
      <c r="CX52" s="246"/>
      <c r="CY52" s="246"/>
      <c r="CZ52" s="246"/>
      <c r="DA52" s="246"/>
      <c r="DB52" s="246" t="str">
        <f>IFERROR(VLOOKUP(BZ52,productData[],22,FALSE),"")</f>
        <v/>
      </c>
      <c r="EE52" s="334" t="str">
        <f t="array" ref="EE52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/>
      </c>
      <c r="EF52" s="494" t="str">
        <f t="array" ref="EF52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/>
      </c>
      <c r="EG52" s="335" t="str">
        <f>IFERROR(IF('BHPC MANAGER'!$EE52="","",INDEX(inventory[ESISTENZA],MATCH('BHPC MANAGER'!$EE52,inventory[SKU],0))),0)</f>
        <v/>
      </c>
      <c r="EH52" s="336" t="s">
        <v>241</v>
      </c>
      <c r="EI52" s="336" t="str">
        <f t="shared" si="4"/>
        <v/>
      </c>
      <c r="EJ52" s="337" t="s">
        <v>241</v>
      </c>
      <c r="EK52" s="338" t="str">
        <f t="shared" si="5"/>
        <v/>
      </c>
      <c r="EO52" s="190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35">
      <c r="J53" s="238"/>
      <c r="K53" s="238"/>
      <c r="L53" s="280" t="str">
        <f t="array" ref="L53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3" s="281" t="str">
        <f t="array" ref="M53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3" s="282" t="str">
        <f t="array" ref="N53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3" s="283" t="str">
        <f t="array" ref="O53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3" s="284" t="str">
        <f t="array" ref="P53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3" s="285" t="str">
        <f t="array" ref="Q53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3" s="286" t="str">
        <f t="array" ref="R53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3" s="345" t="str">
        <f t="array" ref="S53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3" s="287" t="str">
        <f t="array" ref="T53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3" s="282" t="str">
        <f t="array" ref="U53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3" s="287" t="str">
        <f t="array" ref="V53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3" s="384" t="str">
        <f t="array" ref="W53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3" s="246"/>
      <c r="AR53" s="246" t="s">
        <v>70</v>
      </c>
      <c r="BG53" s="190"/>
      <c r="BK53" s="261"/>
      <c r="BL53" s="262"/>
      <c r="BM53" s="263"/>
      <c r="BN53" s="262"/>
      <c r="BO53" s="263"/>
      <c r="BZ53" s="308"/>
      <c r="CA53" s="297" t="str">
        <f>IFERROR(IF(BZ53="","",INDEX(productData[description],MATCH(BZ53,productData[sku],0))),"")</f>
        <v/>
      </c>
      <c r="CB53" s="299"/>
      <c r="CC53" s="413"/>
      <c r="CD53" s="307"/>
      <c r="CE53" s="417"/>
      <c r="CF53" s="300"/>
      <c r="CG53" s="301" t="str">
        <f>IFERROR(ROUNDUP(CB53/INDEX(productData[units_per_carton],MATCH(BZ53,productData[sku],0)),0),"")</f>
        <v/>
      </c>
      <c r="CH53" s="302" t="str">
        <f>IFERROR(ROUNDUP(CD53/INDEX(productData[units_per_carton],MATCH(BZ53,productData[sku],0)),0),"")</f>
        <v/>
      </c>
      <c r="CI53" s="302" t="str">
        <f>IFERROR(ROUNDUP(CF53/INDEX(productData[units_per_carton],MATCH(BZ53,productData[sku])),0),"")</f>
        <v/>
      </c>
      <c r="CJ53" s="302" t="str">
        <f>IFERROR(((CB53+CD53+CF53)/INDEX(productData[units_per_carton],MATCH(BZ53,productData[sku],0)))*INDEX(productData[net_weight],MATCH(BZ53,productData[sku],0)),"")</f>
        <v/>
      </c>
      <c r="CK53" s="302" t="str">
        <f>IFERROR(((CB53+CD53+CF53)/INDEX(productData[units_per_carton],MATCH(BZ53,productData[sku],0)))*INDEX(productData[gross_weight],MATCH(BZ53,productData[sku],0)),"")</f>
        <v/>
      </c>
      <c r="CL53" s="406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03" t="str">
        <f>IFERROR(INDEX(productData[category],MATCH(BZ53,productData[sku],0)),"")</f>
        <v/>
      </c>
      <c r="CN53" s="303" t="str">
        <f>IFERROR(INDEX(productData[size1],MATCH(BZ53,productData[sku],0)),"")</f>
        <v/>
      </c>
      <c r="CO53" s="304" t="str">
        <f>IFERROR(INDEX(productData[hs_code],MATCH(BZ53,productData[sku],0)),"")</f>
        <v/>
      </c>
      <c r="CP53" s="357" t="str">
        <f>IFERROR(INDEX(productData[sku_geko],MATCH(BZ53,productData[sku],0)),"")</f>
        <v/>
      </c>
      <c r="CQ53" s="300"/>
      <c r="CR53" s="374" t="str">
        <f>IFERROR(IF(BZ53="","",IF($BX$15="SALE",INDEX(inventory[COSTO UNITARIO],MATCH(BZ53,inventory[SKU],0)),IF($BX$15="SAMPLING",INDEX(inventory[COSTO UNITARIO],MATCH(BZ53,inventory[SKU],0)),""))),"")</f>
        <v/>
      </c>
      <c r="CS53" s="374" t="str">
        <f t="shared" si="6"/>
        <v/>
      </c>
      <c r="CT53" s="422" t="str">
        <f t="shared" si="7"/>
        <v/>
      </c>
      <c r="CU53" s="349" t="str">
        <f t="shared" si="3"/>
        <v/>
      </c>
      <c r="CV53" s="246"/>
      <c r="CW53" s="246"/>
      <c r="CX53" s="246"/>
      <c r="CY53" s="246"/>
      <c r="CZ53" s="246"/>
      <c r="DA53" s="246"/>
      <c r="DB53" s="246" t="str">
        <f>IFERROR(VLOOKUP(BZ53,productData[],22,FALSE),"")</f>
        <v/>
      </c>
      <c r="EE53" s="329" t="str">
        <f t="array" ref="EE53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/>
      </c>
      <c r="EF53" s="493" t="str">
        <f t="array" ref="EF53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/>
      </c>
      <c r="EG53" s="330" t="str">
        <f>IFERROR(IF('BHPC MANAGER'!$EE53="","",INDEX(inventory[ESISTENZA],MATCH('BHPC MANAGER'!$EE53,inventory[SKU],0))),0)</f>
        <v/>
      </c>
      <c r="EH53" s="331" t="s">
        <v>241</v>
      </c>
      <c r="EI53" s="331" t="str">
        <f t="shared" si="4"/>
        <v/>
      </c>
      <c r="EJ53" s="332" t="s">
        <v>241</v>
      </c>
      <c r="EK53" s="333" t="str">
        <f t="shared" si="5"/>
        <v/>
      </c>
      <c r="EO53" s="190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35">
      <c r="J54" s="238"/>
      <c r="K54" s="238"/>
      <c r="L54" s="280" t="str">
        <f t="array" ref="L54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4" s="281" t="str">
        <f t="array" ref="M54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4" s="282" t="str">
        <f t="array" ref="N54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4" s="283" t="str">
        <f t="array" ref="O54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4" s="284" t="str">
        <f t="array" ref="P54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4" s="285" t="str">
        <f t="array" ref="Q54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4" s="286" t="str">
        <f t="array" ref="R54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4" s="345" t="str">
        <f t="array" ref="S54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4" s="287" t="str">
        <f t="array" ref="T54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4" s="282" t="str">
        <f t="array" ref="U54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4" s="287" t="str">
        <f t="array" ref="V54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4" s="384" t="str">
        <f t="array" ref="W54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4" s="246"/>
      <c r="AR54" s="246" t="s">
        <v>212</v>
      </c>
      <c r="BG54" s="190"/>
      <c r="BK54" s="261"/>
      <c r="BL54" s="262"/>
      <c r="BM54" s="263"/>
      <c r="BN54" s="262"/>
      <c r="BO54" s="263"/>
      <c r="BZ54" s="310"/>
      <c r="CA54" s="297" t="str">
        <f>IFERROR(IF(BZ54="","",INDEX(productData[description],MATCH(BZ54,productData[sku],0))),"")</f>
        <v/>
      </c>
      <c r="CB54" s="299"/>
      <c r="CC54" s="413"/>
      <c r="CD54" s="307"/>
      <c r="CE54" s="417"/>
      <c r="CF54" s="300"/>
      <c r="CG54" s="301" t="str">
        <f>IFERROR(ROUNDUP(CB54/INDEX(productData[units_per_carton],MATCH(BZ54,productData[sku],0)),0),"")</f>
        <v/>
      </c>
      <c r="CH54" s="302" t="str">
        <f>IFERROR(ROUNDUP(CD54/INDEX(productData[units_per_carton],MATCH(BZ54,productData[sku],0)),0),"")</f>
        <v/>
      </c>
      <c r="CI54" s="302" t="str">
        <f>IFERROR(ROUNDUP(CF54/INDEX(productData[units_per_carton],MATCH(BZ54,productData[sku])),0),"")</f>
        <v/>
      </c>
      <c r="CJ54" s="302" t="str">
        <f>IFERROR(((CB54+CD54+CF54)/INDEX(productData[units_per_carton],MATCH(BZ54,productData[sku],0)))*INDEX(productData[net_weight],MATCH(BZ54,productData[sku],0)),"")</f>
        <v/>
      </c>
      <c r="CK54" s="302" t="str">
        <f>IFERROR(((CB54+CD54+CF54)/INDEX(productData[units_per_carton],MATCH(BZ54,productData[sku],0)))*INDEX(productData[gross_weight],MATCH(BZ54,productData[sku],0)),"")</f>
        <v/>
      </c>
      <c r="CL54" s="406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03" t="str">
        <f>IFERROR(INDEX(productData[category],MATCH(BZ54,productData[sku],0)),"")</f>
        <v/>
      </c>
      <c r="CN54" s="303" t="str">
        <f>IFERROR(INDEX(productData[size1],MATCH(BZ54,productData[sku],0)),"")</f>
        <v/>
      </c>
      <c r="CO54" s="304" t="str">
        <f>IFERROR(INDEX(productData[hs_code],MATCH(BZ54,productData[sku],0)),"")</f>
        <v/>
      </c>
      <c r="CP54" s="357" t="str">
        <f>IFERROR(INDEX(productData[sku_geko],MATCH(BZ54,productData[sku],0)),"")</f>
        <v/>
      </c>
      <c r="CQ54" s="300"/>
      <c r="CR54" s="375" t="str">
        <f>IFERROR(IF(BZ54="","",IF($BX$15="SALE",INDEX(inventory[COSTO UNITARIO],MATCH(BZ54,inventory[SKU],0)),IF($BX$15="SAMPLING",INDEX(inventory[COSTO UNITARIO],MATCH(BZ54,inventory[SKU],0)),""))),"")</f>
        <v/>
      </c>
      <c r="CS54" s="375" t="str">
        <f t="shared" si="6"/>
        <v/>
      </c>
      <c r="CT54" s="422" t="str">
        <f t="shared" si="7"/>
        <v/>
      </c>
      <c r="CU54" s="349" t="str">
        <f t="shared" si="3"/>
        <v/>
      </c>
      <c r="CV54" s="246"/>
      <c r="CW54" s="246"/>
      <c r="CX54" s="246"/>
      <c r="CY54" s="246"/>
      <c r="CZ54" s="246"/>
      <c r="DA54" s="246"/>
      <c r="DB54" s="246" t="str">
        <f>IFERROR(VLOOKUP(BZ54,productData[],22,FALSE),"")</f>
        <v/>
      </c>
      <c r="EE54" s="334" t="str">
        <f t="array" ref="EE54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/>
      </c>
      <c r="EF54" s="494" t="str">
        <f t="array" ref="EF54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/>
      </c>
      <c r="EG54" s="335" t="str">
        <f>IFERROR(IF('BHPC MANAGER'!$EE54="","",INDEX(inventory[ESISTENZA],MATCH('BHPC MANAGER'!$EE54,inventory[SKU],0))),0)</f>
        <v/>
      </c>
      <c r="EH54" s="336" t="s">
        <v>241</v>
      </c>
      <c r="EI54" s="336" t="str">
        <f t="shared" si="4"/>
        <v/>
      </c>
      <c r="EJ54" s="337" t="s">
        <v>241</v>
      </c>
      <c r="EK54" s="338" t="str">
        <f t="shared" si="5"/>
        <v/>
      </c>
      <c r="EO54" s="190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35">
      <c r="J55" s="238"/>
      <c r="K55" s="238"/>
      <c r="L55" s="280" t="str">
        <f t="array" ref="L55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5" s="281" t="str">
        <f t="array" ref="M55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5" s="282" t="str">
        <f t="array" ref="N55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5" s="283" t="str">
        <f t="array" ref="O55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5" s="284" t="str">
        <f t="array" ref="P55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5" s="285" t="str">
        <f t="array" ref="Q55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5" s="286" t="str">
        <f t="array" ref="R55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5" s="345" t="str">
        <f t="array" ref="S55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5" s="287" t="str">
        <f t="array" ref="T55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5" s="282" t="str">
        <f t="array" ref="U55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5" s="287" t="str">
        <f t="array" ref="V55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5" s="384" t="str">
        <f t="array" ref="W55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5" s="246"/>
      <c r="AR55" s="246" t="s">
        <v>69</v>
      </c>
      <c r="BG55" s="190"/>
      <c r="BK55" s="261"/>
      <c r="BL55" s="262"/>
      <c r="BM55" s="263"/>
      <c r="BN55" s="262"/>
      <c r="BO55" s="263"/>
      <c r="BZ55" s="310"/>
      <c r="CA55" s="297" t="str">
        <f>IFERROR(IF(BZ55="","",INDEX(productData[description],MATCH(BZ55,productData[sku],0))),"")</f>
        <v/>
      </c>
      <c r="CB55" s="299"/>
      <c r="CC55" s="413"/>
      <c r="CD55" s="307"/>
      <c r="CE55" s="417"/>
      <c r="CF55" s="300"/>
      <c r="CG55" s="301" t="str">
        <f>IFERROR(ROUNDUP(CB55/INDEX(productData[units_per_carton],MATCH(BZ55,productData[sku],0)),0),"")</f>
        <v/>
      </c>
      <c r="CH55" s="302" t="str">
        <f>IFERROR(ROUNDUP(CD55/INDEX(productData[units_per_carton],MATCH(BZ55,productData[sku],0)),0),"")</f>
        <v/>
      </c>
      <c r="CI55" s="302" t="str">
        <f>IFERROR(ROUNDUP(CF55/INDEX(productData[units_per_carton],MATCH(BZ55,productData[sku])),0),"")</f>
        <v/>
      </c>
      <c r="CJ55" s="302" t="str">
        <f>IFERROR(((CB55+CD55+CF55)/INDEX(productData[units_per_carton],MATCH(BZ55,productData[sku],0)))*INDEX(productData[net_weight],MATCH(BZ55,productData[sku],0)),"")</f>
        <v/>
      </c>
      <c r="CK55" s="302" t="str">
        <f>IFERROR(((CB55+CD55+CF55)/INDEX(productData[units_per_carton],MATCH(BZ55,productData[sku],0)))*INDEX(productData[gross_weight],MATCH(BZ55,productData[sku],0)),"")</f>
        <v/>
      </c>
      <c r="CL55" s="406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03" t="str">
        <f>IFERROR(INDEX(productData[category],MATCH(BZ55,productData[sku],0)),"")</f>
        <v/>
      </c>
      <c r="CN55" s="303" t="str">
        <f>IFERROR(INDEX(productData[size1],MATCH(BZ55,productData[sku],0)),"")</f>
        <v/>
      </c>
      <c r="CO55" s="304" t="str">
        <f>IFERROR(INDEX(productData[hs_code],MATCH(BZ55,productData[sku],0)),"")</f>
        <v/>
      </c>
      <c r="CP55" s="357" t="str">
        <f>IFERROR(INDEX(productData[sku_geko],MATCH(BZ55,productData[sku],0)),"")</f>
        <v/>
      </c>
      <c r="CQ55" s="300"/>
      <c r="CR55" s="375" t="str">
        <f>IFERROR(IF(BZ55="","",IF($BX$15="SALE",INDEX(inventory[COSTO UNITARIO],MATCH(BZ55,inventory[SKU],0)),IF($BX$15="SAMPLING",INDEX(inventory[COSTO UNITARIO],MATCH(BZ55,inventory[SKU],0)),""))),"")</f>
        <v/>
      </c>
      <c r="CS55" s="375" t="str">
        <f t="shared" si="6"/>
        <v/>
      </c>
      <c r="CT55" s="422" t="str">
        <f t="shared" si="7"/>
        <v/>
      </c>
      <c r="CU55" s="349" t="str">
        <f t="shared" si="3"/>
        <v/>
      </c>
      <c r="CV55" s="246"/>
      <c r="CW55" s="246"/>
      <c r="CX55" s="246"/>
      <c r="CY55" s="246"/>
      <c r="CZ55" s="246"/>
      <c r="DA55" s="246"/>
      <c r="DB55" s="246" t="str">
        <f>IFERROR(VLOOKUP(BZ55,productData[],22,FALSE),"")</f>
        <v/>
      </c>
      <c r="EE55" s="329" t="str">
        <f t="array" ref="EE55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/>
      </c>
      <c r="EF55" s="493" t="str">
        <f t="array" ref="EF55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/>
      </c>
      <c r="EG55" s="330" t="str">
        <f>IFERROR(IF('BHPC MANAGER'!$EE55="","",INDEX(inventory[ESISTENZA],MATCH('BHPC MANAGER'!$EE55,inventory[SKU],0))),0)</f>
        <v/>
      </c>
      <c r="EH55" s="331" t="s">
        <v>241</v>
      </c>
      <c r="EI55" s="331" t="str">
        <f t="shared" si="4"/>
        <v/>
      </c>
      <c r="EJ55" s="332" t="s">
        <v>241</v>
      </c>
      <c r="EK55" s="333" t="str">
        <f t="shared" si="5"/>
        <v/>
      </c>
      <c r="EO55" s="190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35">
      <c r="L56" s="280" t="str">
        <f t="array" ref="L56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6" s="281" t="str">
        <f t="array" ref="M56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6" s="282" t="str">
        <f t="array" ref="N56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6" s="283" t="str">
        <f t="array" ref="O56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6" s="284" t="str">
        <f t="array" ref="P56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6" s="285" t="str">
        <f t="array" ref="Q56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6" s="286" t="str">
        <f t="array" ref="R56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6" s="345" t="str">
        <f t="array" ref="S56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6" s="287" t="str">
        <f t="array" ref="T56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6" s="282" t="str">
        <f t="array" ref="U56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6" s="287" t="str">
        <f t="array" ref="V56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6" s="384" t="str">
        <f t="array" ref="W56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6" s="246"/>
      <c r="AR56" s="246" t="s">
        <v>213</v>
      </c>
      <c r="BG56" s="190"/>
      <c r="BK56" s="261"/>
      <c r="BL56" s="262"/>
      <c r="BM56" s="263"/>
      <c r="BN56" s="262"/>
      <c r="BO56" s="263"/>
      <c r="BZ56" s="310"/>
      <c r="CA56" s="297" t="str">
        <f>IFERROR(IF(BZ56="","",INDEX(productData[description],MATCH(BZ56,productData[sku],0))),"")</f>
        <v/>
      </c>
      <c r="CB56" s="299"/>
      <c r="CC56" s="413"/>
      <c r="CD56" s="307"/>
      <c r="CE56" s="417"/>
      <c r="CF56" s="300"/>
      <c r="CG56" s="301" t="str">
        <f>IFERROR(ROUNDUP(CB56/INDEX(productData[units_per_carton],MATCH(BZ56,productData[sku],0)),0),"")</f>
        <v/>
      </c>
      <c r="CH56" s="302" t="str">
        <f>IFERROR(ROUNDUP(CD56/INDEX(productData[units_per_carton],MATCH(BZ56,productData[sku],0)),0),"")</f>
        <v/>
      </c>
      <c r="CI56" s="302" t="str">
        <f>IFERROR(ROUNDUP(CF56/INDEX(productData[units_per_carton],MATCH(BZ56,productData[sku])),0),"")</f>
        <v/>
      </c>
      <c r="CJ56" s="302" t="str">
        <f>IFERROR(((CB56+CD56+CF56)/INDEX(productData[units_per_carton],MATCH(BZ56,productData[sku],0)))*INDEX(productData[net_weight],MATCH(BZ56,productData[sku],0)),"")</f>
        <v/>
      </c>
      <c r="CK56" s="302" t="str">
        <f>IFERROR(((CB56+CD56+CF56)/INDEX(productData[units_per_carton],MATCH(BZ56,productData[sku],0)))*INDEX(productData[gross_weight],MATCH(BZ56,productData[sku],0)),"")</f>
        <v/>
      </c>
      <c r="CL56" s="406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03" t="str">
        <f>IFERROR(INDEX(productData[category],MATCH(BZ56,productData[sku],0)),"")</f>
        <v/>
      </c>
      <c r="CN56" s="303" t="str">
        <f>IFERROR(INDEX(productData[size1],MATCH(BZ56,productData[sku],0)),"")</f>
        <v/>
      </c>
      <c r="CO56" s="304" t="str">
        <f>IFERROR(INDEX(productData[hs_code],MATCH(BZ56,productData[sku],0)),"")</f>
        <v/>
      </c>
      <c r="CP56" s="357" t="str">
        <f>IFERROR(INDEX(productData[sku_geko],MATCH(BZ56,productData[sku],0)),"")</f>
        <v/>
      </c>
      <c r="CQ56" s="300"/>
      <c r="CR56" s="375" t="str">
        <f>IFERROR(IF(BZ56="","",IF($BX$15="SALE",INDEX(inventory[COSTO UNITARIO],MATCH(BZ56,inventory[SKU],0)),IF($BX$15="SAMPLING",INDEX(inventory[COSTO UNITARIO],MATCH(BZ56,inventory[SKU],0)),""))),"")</f>
        <v/>
      </c>
      <c r="CS56" s="375" t="str">
        <f t="shared" si="6"/>
        <v/>
      </c>
      <c r="CT56" s="422" t="str">
        <f t="shared" si="7"/>
        <v/>
      </c>
      <c r="CU56" s="349" t="str">
        <f t="shared" si="3"/>
        <v/>
      </c>
      <c r="CV56" s="246"/>
      <c r="CW56" s="246"/>
      <c r="CX56" s="246"/>
      <c r="CY56" s="246"/>
      <c r="CZ56" s="246"/>
      <c r="DA56" s="246"/>
      <c r="DB56" s="246" t="str">
        <f>IFERROR(VLOOKUP(BZ56,productData[],22,FALSE),"")</f>
        <v/>
      </c>
      <c r="EE56" s="334" t="str">
        <f t="array" ref="EE56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/>
      </c>
      <c r="EF56" s="494" t="str">
        <f t="array" ref="EF56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/>
      </c>
      <c r="EG56" s="335" t="str">
        <f>IFERROR(IF('BHPC MANAGER'!$EE56="","",INDEX(inventory[ESISTENZA],MATCH('BHPC MANAGER'!$EE56,inventory[SKU],0))),0)</f>
        <v/>
      </c>
      <c r="EH56" s="336" t="s">
        <v>241</v>
      </c>
      <c r="EI56" s="336" t="str">
        <f t="shared" si="4"/>
        <v/>
      </c>
      <c r="EJ56" s="337" t="s">
        <v>241</v>
      </c>
      <c r="EK56" s="338" t="str">
        <f t="shared" si="5"/>
        <v/>
      </c>
      <c r="EO56" s="190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35">
      <c r="L57" s="280" t="str">
        <f t="array" ref="L57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7" s="281" t="str">
        <f t="array" ref="M57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7" s="282" t="str">
        <f t="array" ref="N57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7" s="283" t="str">
        <f t="array" ref="O57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7" s="284" t="str">
        <f t="array" ref="P57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7" s="285" t="str">
        <f t="array" ref="Q57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7" s="286" t="str">
        <f t="array" ref="R57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7" s="345" t="str">
        <f t="array" ref="S57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7" s="287" t="str">
        <f t="array" ref="T57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7" s="282" t="str">
        <f t="array" ref="U57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7" s="287" t="str">
        <f t="array" ref="V57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7" s="384" t="str">
        <f t="array" ref="W57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7" s="246"/>
      <c r="AR57" s="246" t="s">
        <v>214</v>
      </c>
      <c r="BG57" s="190"/>
      <c r="BK57" s="261"/>
      <c r="BL57" s="262"/>
      <c r="BM57" s="263"/>
      <c r="BN57" s="262"/>
      <c r="BO57" s="263"/>
      <c r="BZ57" s="310"/>
      <c r="CA57" s="297" t="str">
        <f>IFERROR(IF(BZ57="","",INDEX(productData[description],MATCH(BZ57,productData[sku],0))),"")</f>
        <v/>
      </c>
      <c r="CB57" s="299"/>
      <c r="CC57" s="413"/>
      <c r="CD57" s="307"/>
      <c r="CE57" s="417"/>
      <c r="CF57" s="300"/>
      <c r="CG57" s="301" t="str">
        <f>IFERROR(ROUNDUP(CB57/INDEX(productData[units_per_carton],MATCH(BZ57,productData[sku],0)),0),"")</f>
        <v/>
      </c>
      <c r="CH57" s="302" t="str">
        <f>IFERROR(ROUNDUP(CD57/INDEX(productData[units_per_carton],MATCH(BZ57,productData[sku],0)),0),"")</f>
        <v/>
      </c>
      <c r="CI57" s="302" t="str">
        <f>IFERROR(ROUNDUP(CF57/INDEX(productData[units_per_carton],MATCH(BZ57,productData[sku])),0),"")</f>
        <v/>
      </c>
      <c r="CJ57" s="302" t="str">
        <f>IFERROR(((CB57+CD57+CF57)/INDEX(productData[units_per_carton],MATCH(BZ57,productData[sku],0)))*INDEX(productData[net_weight],MATCH(BZ57,productData[sku],0)),"")</f>
        <v/>
      </c>
      <c r="CK57" s="302" t="str">
        <f>IFERROR(((CB57+CD57+CF57)/INDEX(productData[units_per_carton],MATCH(BZ57,productData[sku],0)))*INDEX(productData[gross_weight],MATCH(BZ57,productData[sku],0)),"")</f>
        <v/>
      </c>
      <c r="CL57" s="406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03" t="str">
        <f>IFERROR(INDEX(productData[category],MATCH(BZ57,productData[sku],0)),"")</f>
        <v/>
      </c>
      <c r="CN57" s="303" t="str">
        <f>IFERROR(INDEX(productData[size1],MATCH(BZ57,productData[sku],0)),"")</f>
        <v/>
      </c>
      <c r="CO57" s="304" t="str">
        <f>IFERROR(INDEX(productData[hs_code],MATCH(BZ57,productData[sku],0)),"")</f>
        <v/>
      </c>
      <c r="CP57" s="357" t="str">
        <f>IFERROR(INDEX(productData[sku_geko],MATCH(BZ57,productData[sku],0)),"")</f>
        <v/>
      </c>
      <c r="CQ57" s="300"/>
      <c r="CR57" s="375" t="str">
        <f>IFERROR(IF(BZ57="","",IF($BX$15="SALE",INDEX(inventory[COSTO UNITARIO],MATCH(BZ57,inventory[SKU],0)),IF($BX$15="SAMPLING",INDEX(inventory[COSTO UNITARIO],MATCH(BZ57,inventory[SKU],0)),""))),"")</f>
        <v/>
      </c>
      <c r="CS57" s="375" t="str">
        <f t="shared" si="6"/>
        <v/>
      </c>
      <c r="CT57" s="422" t="str">
        <f t="shared" si="7"/>
        <v/>
      </c>
      <c r="CU57" s="349" t="str">
        <f t="shared" si="3"/>
        <v/>
      </c>
      <c r="DB57" s="246" t="str">
        <f>IFERROR(VLOOKUP(BZ57,productData[],22,FALSE),"")</f>
        <v/>
      </c>
      <c r="EE57" s="329" t="str">
        <f t="array" ref="EE57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/>
      </c>
      <c r="EF57" s="493" t="str">
        <f t="array" ref="EF57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/>
      </c>
      <c r="EG57" s="330" t="str">
        <f>IFERROR(IF('BHPC MANAGER'!$EE57="","",INDEX(inventory[ESISTENZA],MATCH('BHPC MANAGER'!$EE57,inventory[SKU],0))),0)</f>
        <v/>
      </c>
      <c r="EH57" s="331" t="s">
        <v>241</v>
      </c>
      <c r="EI57" s="331" t="str">
        <f t="shared" si="4"/>
        <v/>
      </c>
      <c r="EJ57" s="332" t="s">
        <v>241</v>
      </c>
      <c r="EK57" s="333" t="str">
        <f t="shared" si="5"/>
        <v/>
      </c>
      <c r="EO57" s="190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35">
      <c r="L58" s="280" t="str">
        <f t="array" ref="L58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58" s="281" t="str">
        <f t="array" ref="M58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58" s="282" t="str">
        <f t="array" ref="N58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58" s="283" t="str">
        <f t="array" ref="O58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58" s="284" t="str">
        <f t="array" ref="P58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58" s="285" t="str">
        <f t="array" ref="Q58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58" s="286" t="str">
        <f t="array" ref="R58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58" s="345" t="str">
        <f t="array" ref="S58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58" s="287" t="str">
        <f t="array" ref="T58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58" s="282" t="str">
        <f t="array" ref="U58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58" s="287" t="str">
        <f t="array" ref="V58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58" s="384" t="str">
        <f t="array" ref="W58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AQ58" s="246"/>
      <c r="AR58" s="246" t="s">
        <v>215</v>
      </c>
      <c r="BG58" s="190"/>
      <c r="BK58" s="261"/>
      <c r="BL58" s="262"/>
      <c r="BM58" s="263"/>
      <c r="BN58" s="262"/>
      <c r="BO58" s="263"/>
      <c r="BZ58" s="308"/>
      <c r="CA58" s="297" t="str">
        <f>IFERROR(IF(BZ58="","",INDEX(productData[description],MATCH(BZ58,productData[sku],0))),"")</f>
        <v/>
      </c>
      <c r="CB58" s="299"/>
      <c r="CC58" s="413"/>
      <c r="CD58" s="306"/>
      <c r="CE58" s="417"/>
      <c r="CF58" s="300"/>
      <c r="CG58" s="301" t="str">
        <f>IFERROR(ROUNDUP(CB58/INDEX(productData[units_per_carton],MATCH(BZ58,productData[sku],0)),0),"")</f>
        <v/>
      </c>
      <c r="CH58" s="302" t="str">
        <f>IFERROR(ROUNDUP(CD58/INDEX(productData[units_per_carton],MATCH(BZ58,productData[sku],0)),0),"")</f>
        <v/>
      </c>
      <c r="CI58" s="302" t="str">
        <f>IFERROR(ROUNDUP(CF58/INDEX(productData[units_per_carton],MATCH(BZ58,productData[sku])),0),"")</f>
        <v/>
      </c>
      <c r="CJ58" s="302" t="str">
        <f>IFERROR(((CB58+CD58+CF58)/INDEX(productData[units_per_carton],MATCH(BZ58,productData[sku],0)))*INDEX(productData[net_weight],MATCH(BZ58,productData[sku],0)),"")</f>
        <v/>
      </c>
      <c r="CK58" s="302" t="str">
        <f>IFERROR(((CB58+CD58+CF58)/INDEX(productData[units_per_carton],MATCH(BZ58,productData[sku],0)))*INDEX(productData[gross_weight],MATCH(BZ58,productData[sku],0)),"")</f>
        <v/>
      </c>
      <c r="CL58" s="406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03" t="str">
        <f>IFERROR(INDEX(productData[category],MATCH(BZ58,productData[sku],0)),"")</f>
        <v/>
      </c>
      <c r="CN58" s="303" t="str">
        <f>IFERROR(INDEX(productData[size1],MATCH(BZ58,productData[sku],0)),"")</f>
        <v/>
      </c>
      <c r="CO58" s="304" t="str">
        <f>IFERROR(INDEX(productData[hs_code],MATCH(BZ58,productData[sku],0)),"")</f>
        <v/>
      </c>
      <c r="CP58" s="357" t="str">
        <f>IFERROR(INDEX(productData[sku_geko],MATCH(BZ58,productData[sku],0)),"")</f>
        <v/>
      </c>
      <c r="CQ58" s="300"/>
      <c r="CR58" s="374" t="str">
        <f>IFERROR(IF(BZ58="","",IF($BX$15="SALE",INDEX(inventory[COSTO UNITARIO],MATCH(BZ58,inventory[SKU],0)),IF($BX$15="SAMPLING",INDEX(inventory[COSTO UNITARIO],MATCH(BZ58,inventory[SKU],0)),""))),"")</f>
        <v/>
      </c>
      <c r="CS58" s="374" t="str">
        <f t="shared" si="6"/>
        <v/>
      </c>
      <c r="CT58" s="422" t="str">
        <f t="shared" si="7"/>
        <v/>
      </c>
      <c r="CU58" s="349" t="str">
        <f t="shared" si="3"/>
        <v/>
      </c>
      <c r="DB58" s="246" t="str">
        <f>IFERROR(VLOOKUP(BZ58,productData[],22,FALSE),"")</f>
        <v/>
      </c>
      <c r="EE58" s="334" t="str">
        <f t="array" ref="EE58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/>
      </c>
      <c r="EF58" s="494" t="str">
        <f t="array" ref="EF58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/>
      </c>
      <c r="EG58" s="335" t="str">
        <f>IFERROR(IF('BHPC MANAGER'!$EE58="","",INDEX(inventory[ESISTENZA],MATCH('BHPC MANAGER'!$EE58,inventory[SKU],0))),0)</f>
        <v/>
      </c>
      <c r="EH58" s="336" t="s">
        <v>241</v>
      </c>
      <c r="EI58" s="336" t="str">
        <f t="shared" si="4"/>
        <v/>
      </c>
      <c r="EJ58" s="337" t="s">
        <v>241</v>
      </c>
      <c r="EK58" s="338" t="str">
        <f t="shared" si="5"/>
        <v/>
      </c>
      <c r="EO58" s="190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35">
      <c r="L59" s="280" t="str">
        <f t="array" ref="L59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59" s="281" t="str">
        <f t="array" ref="M59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59" s="282" t="str">
        <f t="array" ref="N59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59" s="283" t="str">
        <f t="array" ref="O59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59" s="284" t="str">
        <f t="array" ref="P59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59" s="285" t="str">
        <f t="array" ref="Q59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59" s="286" t="str">
        <f t="array" ref="R59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59" s="345" t="str">
        <f t="array" ref="S59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59" s="287" t="str">
        <f t="array" ref="T59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59" s="282" t="str">
        <f t="array" ref="U59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59" s="287" t="str">
        <f t="array" ref="V59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59" s="384" t="str">
        <f t="array" ref="W59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AQ59" s="246"/>
      <c r="AR59" s="246" t="s">
        <v>72</v>
      </c>
      <c r="BG59" s="190"/>
      <c r="BK59" s="261"/>
      <c r="BL59" s="262"/>
      <c r="BM59" s="263"/>
      <c r="BN59" s="262"/>
      <c r="BO59" s="263"/>
      <c r="BZ59" s="308"/>
      <c r="CA59" s="297" t="str">
        <f>IFERROR(IF(BZ59="","",INDEX(productData[description],MATCH(BZ59,productData[sku],0))),"")</f>
        <v/>
      </c>
      <c r="CB59" s="299"/>
      <c r="CC59" s="413"/>
      <c r="CD59" s="307"/>
      <c r="CE59" s="417"/>
      <c r="CF59" s="300"/>
      <c r="CG59" s="301" t="str">
        <f>IFERROR(ROUNDUP(CB59/INDEX(productData[units_per_carton],MATCH(BZ59,productData[sku],0)),0),"")</f>
        <v/>
      </c>
      <c r="CH59" s="302" t="str">
        <f>IFERROR(ROUNDUP(CD59/INDEX(productData[units_per_carton],MATCH(BZ59,productData[sku],0)),0),"")</f>
        <v/>
      </c>
      <c r="CI59" s="302" t="str">
        <f>IFERROR(ROUNDUP(CF59/INDEX(productData[units_per_carton],MATCH(BZ59,productData[sku])),0),"")</f>
        <v/>
      </c>
      <c r="CJ59" s="302" t="str">
        <f>IFERROR(((CB59+CD59+CF59)/INDEX(productData[units_per_carton],MATCH(BZ59,productData[sku],0)))*INDEX(productData[net_weight],MATCH(BZ59,productData[sku],0)),"")</f>
        <v/>
      </c>
      <c r="CK59" s="302" t="str">
        <f>IFERROR(((CB59+CD59+CF59)/INDEX(productData[units_per_carton],MATCH(BZ59,productData[sku],0)))*INDEX(productData[gross_weight],MATCH(BZ59,productData[sku],0)),"")</f>
        <v/>
      </c>
      <c r="CL59" s="406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03" t="str">
        <f>IFERROR(INDEX(productData[category],MATCH(BZ59,productData[sku],0)),"")</f>
        <v/>
      </c>
      <c r="CN59" s="303" t="str">
        <f>IFERROR(INDEX(productData[size1],MATCH(BZ59,productData[sku],0)),"")</f>
        <v/>
      </c>
      <c r="CO59" s="304" t="str">
        <f>IFERROR(INDEX(productData[hs_code],MATCH(BZ59,productData[sku],0)),"")</f>
        <v/>
      </c>
      <c r="CP59" s="357" t="str">
        <f>IFERROR(INDEX(productData[sku_geko],MATCH(BZ59,productData[sku],0)),"")</f>
        <v/>
      </c>
      <c r="CQ59" s="300"/>
      <c r="CR59" s="374" t="str">
        <f>IFERROR(IF(BZ59="","",IF($BX$15="SALE",INDEX(inventory[COSTO UNITARIO],MATCH(BZ59,inventory[SKU],0)),IF($BX$15="SAMPLING",INDEX(inventory[COSTO UNITARIO],MATCH(BZ59,inventory[SKU],0)),""))),"")</f>
        <v/>
      </c>
      <c r="CS59" s="374" t="str">
        <f t="shared" si="6"/>
        <v/>
      </c>
      <c r="CT59" s="422" t="str">
        <f t="shared" si="7"/>
        <v/>
      </c>
      <c r="CU59" s="349" t="str">
        <f t="shared" si="3"/>
        <v/>
      </c>
      <c r="DB59" s="246" t="str">
        <f>IFERROR(VLOOKUP(BZ59,productData[],22,FALSE),"")</f>
        <v/>
      </c>
      <c r="EE59" s="329" t="str">
        <f t="array" ref="EE59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/>
      </c>
      <c r="EF59" s="493" t="str">
        <f t="array" ref="EF59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/>
      </c>
      <c r="EG59" s="330" t="str">
        <f>IFERROR(IF('BHPC MANAGER'!$EE59="","",INDEX(inventory[ESISTENZA],MATCH('BHPC MANAGER'!$EE59,inventory[SKU],0))),0)</f>
        <v/>
      </c>
      <c r="EH59" s="331" t="s">
        <v>241</v>
      </c>
      <c r="EI59" s="331" t="str">
        <f t="shared" si="4"/>
        <v/>
      </c>
      <c r="EJ59" s="332" t="s">
        <v>241</v>
      </c>
      <c r="EK59" s="333" t="str">
        <f t="shared" si="5"/>
        <v/>
      </c>
      <c r="EO59" s="190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35">
      <c r="L60" s="280" t="str">
        <f t="array" ref="L60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0" s="281" t="str">
        <f t="array" ref="M60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0" s="282" t="str">
        <f t="array" ref="N60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0" s="283" t="str">
        <f t="array" ref="O60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0" s="284" t="str">
        <f t="array" ref="P60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0" s="285" t="str">
        <f t="array" ref="Q60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0" s="286" t="str">
        <f t="array" ref="R60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0" s="345" t="str">
        <f t="array" ref="S60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0" s="287" t="str">
        <f t="array" ref="T60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0" s="282" t="str">
        <f t="array" ref="U60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0" s="287" t="str">
        <f t="array" ref="V60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0" s="384" t="str">
        <f t="array" ref="W60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0" s="190"/>
      <c r="BK60" s="261"/>
      <c r="BL60" s="262"/>
      <c r="BM60" s="263"/>
      <c r="BN60" s="262"/>
      <c r="BO60" s="263"/>
      <c r="BZ60" s="310"/>
      <c r="CA60" s="297" t="str">
        <f>IFERROR(IF(BZ60="","",INDEX(productData[description],MATCH(BZ60,productData[sku],0))),"")</f>
        <v/>
      </c>
      <c r="CB60" s="299"/>
      <c r="CC60" s="413"/>
      <c r="CD60" s="307"/>
      <c r="CE60" s="417"/>
      <c r="CF60" s="300"/>
      <c r="CG60" s="301" t="str">
        <f>IFERROR(ROUNDUP(CB60/INDEX(productData[units_per_carton],MATCH(BZ60,productData[sku],0)),0),"")</f>
        <v/>
      </c>
      <c r="CH60" s="302" t="str">
        <f>IFERROR(ROUNDUP(CD60/INDEX(productData[units_per_carton],MATCH(BZ60,productData[sku],0)),0),"")</f>
        <v/>
      </c>
      <c r="CI60" s="302" t="str">
        <f>IFERROR(ROUNDUP(CF60/INDEX(productData[units_per_carton],MATCH(BZ60,productData[sku])),0),"")</f>
        <v/>
      </c>
      <c r="CJ60" s="302" t="str">
        <f>IFERROR(((CB60+CD60+CF60)/INDEX(productData[units_per_carton],MATCH(BZ60,productData[sku],0)))*INDEX(productData[net_weight],MATCH(BZ60,productData[sku],0)),"")</f>
        <v/>
      </c>
      <c r="CK60" s="302" t="str">
        <f>IFERROR(((CB60+CD60+CF60)/INDEX(productData[units_per_carton],MATCH(BZ60,productData[sku],0)))*INDEX(productData[gross_weight],MATCH(BZ60,productData[sku],0)),"")</f>
        <v/>
      </c>
      <c r="CL60" s="406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03" t="str">
        <f>IFERROR(INDEX(productData[category],MATCH(BZ60,productData[sku],0)),"")</f>
        <v/>
      </c>
      <c r="CN60" s="303" t="str">
        <f>IFERROR(INDEX(productData[size1],MATCH(BZ60,productData[sku],0)),"")</f>
        <v/>
      </c>
      <c r="CO60" s="304" t="str">
        <f>IFERROR(INDEX(productData[hs_code],MATCH(BZ60,productData[sku],0)),"")</f>
        <v/>
      </c>
      <c r="CP60" s="357" t="str">
        <f>IFERROR(INDEX(productData[sku_geko],MATCH(BZ60,productData[sku],0)),"")</f>
        <v/>
      </c>
      <c r="CQ60" s="300"/>
      <c r="CR60" s="375" t="str">
        <f>IFERROR(IF(BZ60="","",IF($BX$15="SALE",INDEX(inventory[COSTO UNITARIO],MATCH(BZ60,inventory[SKU],0)),IF($BX$15="SAMPLING",INDEX(inventory[COSTO UNITARIO],MATCH(BZ60,inventory[SKU],0)),""))),"")</f>
        <v/>
      </c>
      <c r="CS60" s="375" t="str">
        <f t="shared" si="6"/>
        <v/>
      </c>
      <c r="CT60" s="422" t="str">
        <f t="shared" si="7"/>
        <v/>
      </c>
      <c r="CU60" s="349" t="str">
        <f t="shared" si="3"/>
        <v/>
      </c>
      <c r="DB60" s="246" t="str">
        <f>IFERROR(VLOOKUP(BZ60,productData[],22,FALSE),"")</f>
        <v/>
      </c>
      <c r="EE60" s="334" t="str">
        <f t="array" ref="EE60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/>
      </c>
      <c r="EF60" s="494" t="str">
        <f t="array" ref="EF60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/>
      </c>
      <c r="EG60" s="335" t="str">
        <f>IFERROR(IF('BHPC MANAGER'!$EE60="","",INDEX(inventory[ESISTENZA],MATCH('BHPC MANAGER'!$EE60,inventory[SKU],0))),0)</f>
        <v/>
      </c>
      <c r="EH60" s="336" t="s">
        <v>241</v>
      </c>
      <c r="EI60" s="336" t="str">
        <f t="shared" si="4"/>
        <v/>
      </c>
      <c r="EJ60" s="337" t="s">
        <v>241</v>
      </c>
      <c r="EK60" s="338" t="str">
        <f t="shared" si="5"/>
        <v/>
      </c>
      <c r="EO60" s="190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35">
      <c r="L61" s="280" t="str">
        <f t="array" ref="L61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1" s="281" t="str">
        <f t="array" ref="M61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1" s="282" t="str">
        <f t="array" ref="N61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1" s="283" t="str">
        <f t="array" ref="O61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1" s="284" t="str">
        <f t="array" ref="P61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1" s="285" t="str">
        <f t="array" ref="Q61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1" s="286" t="str">
        <f t="array" ref="R61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1" s="345" t="str">
        <f t="array" ref="S61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1" s="287" t="str">
        <f t="array" ref="T61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1" s="282" t="str">
        <f t="array" ref="U61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1" s="287" t="str">
        <f t="array" ref="V61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1" s="384" t="str">
        <f t="array" ref="W61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1" s="190"/>
      <c r="BK61" s="261"/>
      <c r="BL61" s="262"/>
      <c r="BM61" s="263"/>
      <c r="BN61" s="262"/>
      <c r="BO61" s="263"/>
      <c r="BZ61" s="310"/>
      <c r="CA61" s="297" t="str">
        <f>IFERROR(IF(BZ61="","",INDEX(productData[description],MATCH(BZ61,productData[sku],0))),"")</f>
        <v/>
      </c>
      <c r="CB61" s="299"/>
      <c r="CC61" s="413"/>
      <c r="CD61" s="307"/>
      <c r="CE61" s="418"/>
      <c r="CF61" s="300"/>
      <c r="CG61" s="301" t="str">
        <f>IFERROR(ROUNDUP(CB61/INDEX(productData[units_per_carton],MATCH(BZ61,productData[sku],0)),0),"")</f>
        <v/>
      </c>
      <c r="CH61" s="302" t="str">
        <f>IFERROR(ROUNDUP(CD61/INDEX(productData[units_per_carton],MATCH(BZ61,productData[sku],0)),0),"")</f>
        <v/>
      </c>
      <c r="CI61" s="302" t="str">
        <f>IFERROR(ROUNDUP(CF61/INDEX(productData[units_per_carton],MATCH(BZ61,productData[sku])),0),"")</f>
        <v/>
      </c>
      <c r="CJ61" s="302" t="str">
        <f>IFERROR(((CB61+CD61+CF61)/INDEX(productData[units_per_carton],MATCH(BZ61,productData[sku],0)))*INDEX(productData[net_weight],MATCH(BZ61,productData[sku],0)),"")</f>
        <v/>
      </c>
      <c r="CK61" s="302" t="str">
        <f>IFERROR(((CB61+CD61+CF61)/INDEX(productData[units_per_carton],MATCH(BZ61,productData[sku],0)))*INDEX(productData[gross_weight],MATCH(BZ61,productData[sku],0)),"")</f>
        <v/>
      </c>
      <c r="CL61" s="406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03" t="str">
        <f>IFERROR(INDEX(productData[category],MATCH(BZ61,productData[sku],0)),"")</f>
        <v/>
      </c>
      <c r="CN61" s="303" t="str">
        <f>IFERROR(INDEX(productData[size1],MATCH(BZ61,productData[sku],0)),"")</f>
        <v/>
      </c>
      <c r="CO61" s="304" t="str">
        <f>IFERROR(INDEX(productData[hs_code],MATCH(BZ61,productData[sku],0)),"")</f>
        <v/>
      </c>
      <c r="CP61" s="357" t="str">
        <f>IFERROR(INDEX(productData[sku_geko],MATCH(BZ61,productData[sku],0)),"")</f>
        <v/>
      </c>
      <c r="CQ61" s="300"/>
      <c r="CR61" s="375" t="str">
        <f>IFERROR(IF(BZ61="","",IF($BX$15="SALE",INDEX(inventory[COSTO UNITARIO],MATCH(BZ61,inventory[SKU],0)),IF($BX$15="SAMPLING",INDEX(inventory[COSTO UNITARIO],MATCH(BZ61,inventory[SKU],0)),""))),"")</f>
        <v/>
      </c>
      <c r="CS61" s="375" t="str">
        <f t="shared" si="6"/>
        <v/>
      </c>
      <c r="CT61" s="422" t="str">
        <f t="shared" si="7"/>
        <v/>
      </c>
      <c r="CU61" s="349" t="str">
        <f t="shared" si="3"/>
        <v/>
      </c>
      <c r="DB61" s="246" t="str">
        <f>IFERROR(VLOOKUP(BZ61,productData[],22,FALSE),"")</f>
        <v/>
      </c>
      <c r="EE61" s="329" t="str">
        <f t="array" ref="EE61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/>
      </c>
      <c r="EF61" s="493" t="str">
        <f t="array" ref="EF61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/>
      </c>
      <c r="EG61" s="330" t="str">
        <f>IFERROR(IF('BHPC MANAGER'!$EE61="","",INDEX(inventory[ESISTENZA],MATCH('BHPC MANAGER'!$EE61,inventory[SKU],0))),0)</f>
        <v/>
      </c>
      <c r="EH61" s="331" t="s">
        <v>241</v>
      </c>
      <c r="EI61" s="331" t="str">
        <f t="shared" si="4"/>
        <v/>
      </c>
      <c r="EJ61" s="332" t="s">
        <v>241</v>
      </c>
      <c r="EK61" s="333" t="str">
        <f t="shared" si="5"/>
        <v/>
      </c>
    </row>
    <row r="62" spans="10:145" ht="15" customHeight="1" x14ac:dyDescent="0.35">
      <c r="L62" s="280" t="str">
        <f t="array" ref="L62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2" s="281" t="str">
        <f t="array" ref="M62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2" s="282" t="str">
        <f t="array" ref="N62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2" s="283" t="str">
        <f t="array" ref="O62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2" s="284" t="str">
        <f t="array" ref="P62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2" s="285" t="str">
        <f t="array" ref="Q62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2" s="286" t="str">
        <f t="array" ref="R62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2" s="345" t="str">
        <f t="array" ref="S62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2" s="287" t="str">
        <f t="array" ref="T62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2" s="282" t="str">
        <f t="array" ref="U62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2" s="287" t="str">
        <f t="array" ref="V62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2" s="384" t="str">
        <f t="array" ref="W62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2" s="190"/>
      <c r="BK62" s="261"/>
      <c r="BL62" s="262"/>
      <c r="BM62" s="263"/>
      <c r="BN62" s="262"/>
      <c r="BO62" s="263"/>
      <c r="BZ62" s="310"/>
      <c r="CA62" s="297" t="str">
        <f>IFERROR(IF(BZ62="","",INDEX(productData[description],MATCH(BZ62,productData[sku],0))),"")</f>
        <v/>
      </c>
      <c r="CB62" s="299"/>
      <c r="CC62" s="413"/>
      <c r="CD62" s="307"/>
      <c r="CE62" s="418"/>
      <c r="CF62" s="300"/>
      <c r="CG62" s="301" t="str">
        <f>IFERROR(ROUNDUP(CB62/INDEX(productData[units_per_carton],MATCH(BZ62,productData[sku],0)),0),"")</f>
        <v/>
      </c>
      <c r="CH62" s="302" t="str">
        <f>IFERROR(ROUNDUP(CD62/INDEX(productData[units_per_carton],MATCH(BZ62,productData[sku],0)),0),"")</f>
        <v/>
      </c>
      <c r="CI62" s="302" t="str">
        <f>IFERROR(ROUNDUP(CF62/INDEX(productData[units_per_carton],MATCH(BZ62,productData[sku])),0),"")</f>
        <v/>
      </c>
      <c r="CJ62" s="302" t="str">
        <f>IFERROR(((CB62+CD62+CF62)/INDEX(productData[units_per_carton],MATCH(BZ62,productData[sku],0)))*INDEX(productData[net_weight],MATCH(BZ62,productData[sku],0)),"")</f>
        <v/>
      </c>
      <c r="CK62" s="302" t="str">
        <f>IFERROR(((CB62+CD62+CF62)/INDEX(productData[units_per_carton],MATCH(BZ62,productData[sku],0)))*INDEX(productData[gross_weight],MATCH(BZ62,productData[sku],0)),"")</f>
        <v/>
      </c>
      <c r="CL62" s="406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03" t="str">
        <f>IFERROR(INDEX(productData[category],MATCH(BZ62,productData[sku],0)),"")</f>
        <v/>
      </c>
      <c r="CN62" s="303" t="str">
        <f>IFERROR(INDEX(productData[size1],MATCH(BZ62,productData[sku],0)),"")</f>
        <v/>
      </c>
      <c r="CO62" s="304" t="str">
        <f>IFERROR(INDEX(productData[hs_code],MATCH(BZ62,productData[sku],0)),"")</f>
        <v/>
      </c>
      <c r="CP62" s="357" t="str">
        <f>IFERROR(INDEX(productData[sku_geko],MATCH(BZ62,productData[sku],0)),"")</f>
        <v/>
      </c>
      <c r="CQ62" s="300"/>
      <c r="CR62" s="375" t="str">
        <f>IFERROR(IF(BZ62="","",IF($BX$15="SALE",INDEX(inventory[COSTO UNITARIO],MATCH(BZ62,inventory[SKU],0)),IF($BX$15="SAMPLING",INDEX(inventory[COSTO UNITARIO],MATCH(BZ62,inventory[SKU],0)),""))),"")</f>
        <v/>
      </c>
      <c r="CS62" s="375" t="str">
        <f t="shared" si="6"/>
        <v/>
      </c>
      <c r="CT62" s="422" t="str">
        <f t="shared" si="7"/>
        <v/>
      </c>
      <c r="CU62" s="349" t="str">
        <f t="shared" si="3"/>
        <v/>
      </c>
      <c r="DB62" s="246" t="str">
        <f>IFERROR(VLOOKUP(BZ62,productData[],22,FALSE),"")</f>
        <v/>
      </c>
      <c r="EE62" s="334" t="str">
        <f t="array" ref="EE62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/>
      </c>
      <c r="EF62" s="494" t="str">
        <f t="array" ref="EF62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/>
      </c>
      <c r="EG62" s="335" t="str">
        <f>IFERROR(IF('BHPC MANAGER'!$EE62="","",INDEX(inventory[ESISTENZA],MATCH('BHPC MANAGER'!$EE62,inventory[SKU],0))),0)</f>
        <v/>
      </c>
      <c r="EH62" s="336" t="s">
        <v>241</v>
      </c>
      <c r="EI62" s="336" t="str">
        <f t="shared" si="4"/>
        <v/>
      </c>
      <c r="EJ62" s="337" t="s">
        <v>241</v>
      </c>
      <c r="EK62" s="338" t="str">
        <f t="shared" si="5"/>
        <v/>
      </c>
    </row>
    <row r="63" spans="10:145" ht="15" customHeight="1" x14ac:dyDescent="0.35">
      <c r="L63" s="280" t="str">
        <f t="array" ref="L63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3" s="281" t="str">
        <f t="array" ref="M63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3" s="282" t="str">
        <f t="array" ref="N63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3" s="283" t="str">
        <f t="array" ref="O63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3" s="284" t="str">
        <f t="array" ref="P63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3" s="285" t="str">
        <f t="array" ref="Q63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3" s="286" t="str">
        <f t="array" ref="R63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3" s="345" t="str">
        <f t="array" ref="S63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3" s="287" t="str">
        <f t="array" ref="T63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3" s="282" t="str">
        <f t="array" ref="U63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3" s="287" t="str">
        <f t="array" ref="V63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3" s="384" t="str">
        <f t="array" ref="W63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3" s="190"/>
      <c r="BK63" s="261"/>
      <c r="BL63" s="262"/>
      <c r="BM63" s="263"/>
      <c r="BN63" s="262"/>
      <c r="BO63" s="263"/>
      <c r="BZ63" s="310"/>
      <c r="CA63" s="297" t="str">
        <f>IFERROR(IF(BZ63="","",INDEX(productData[description],MATCH(BZ63,productData[sku],0))),"")</f>
        <v/>
      </c>
      <c r="CB63" s="299"/>
      <c r="CC63" s="413"/>
      <c r="CD63" s="307"/>
      <c r="CE63" s="418"/>
      <c r="CF63" s="300"/>
      <c r="CG63" s="301" t="str">
        <f>IFERROR(ROUNDUP(CB63/INDEX(productData[units_per_carton],MATCH(BZ63,productData[sku],0)),0),"")</f>
        <v/>
      </c>
      <c r="CH63" s="302" t="str">
        <f>IFERROR(ROUNDUP(CD63/INDEX(productData[units_per_carton],MATCH(BZ63,productData[sku],0)),0),"")</f>
        <v/>
      </c>
      <c r="CI63" s="302" t="str">
        <f>IFERROR(ROUNDUP(CF63/INDEX(productData[units_per_carton],MATCH(BZ63,productData[sku])),0),"")</f>
        <v/>
      </c>
      <c r="CJ63" s="302" t="str">
        <f>IFERROR(((CB63+CD63+CF63)/INDEX(productData[units_per_carton],MATCH(BZ63,productData[sku],0)))*INDEX(productData[net_weight],MATCH(BZ63,productData[sku],0)),"")</f>
        <v/>
      </c>
      <c r="CK63" s="302" t="str">
        <f>IFERROR(((CB63+CD63+CF63)/INDEX(productData[units_per_carton],MATCH(BZ63,productData[sku],0)))*INDEX(productData[gross_weight],MATCH(BZ63,productData[sku],0)),"")</f>
        <v/>
      </c>
      <c r="CL63" s="406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03" t="str">
        <f>IFERROR(INDEX(productData[category],MATCH(BZ63,productData[sku],0)),"")</f>
        <v/>
      </c>
      <c r="CN63" s="303" t="str">
        <f>IFERROR(INDEX(productData[size1],MATCH(BZ63,productData[sku],0)),"")</f>
        <v/>
      </c>
      <c r="CO63" s="304" t="str">
        <f>IFERROR(INDEX(productData[hs_code],MATCH(BZ63,productData[sku],0)),"")</f>
        <v/>
      </c>
      <c r="CP63" s="357" t="str">
        <f>IFERROR(INDEX(productData[sku_geko],MATCH(BZ63,productData[sku],0)),"")</f>
        <v/>
      </c>
      <c r="CQ63" s="300"/>
      <c r="CR63" s="375" t="str">
        <f>IFERROR(IF(BZ63="","",IF($BX$15="SALE",INDEX(inventory[COSTO UNITARIO],MATCH(BZ63,inventory[SKU],0)),IF($BX$15="SAMPLING",INDEX(inventory[COSTO UNITARIO],MATCH(BZ63,inventory[SKU],0)),""))),"")</f>
        <v/>
      </c>
      <c r="CS63" s="375" t="str">
        <f t="shared" si="6"/>
        <v/>
      </c>
      <c r="CT63" s="422" t="str">
        <f t="shared" si="7"/>
        <v/>
      </c>
      <c r="CU63" s="349" t="str">
        <f t="shared" si="3"/>
        <v/>
      </c>
      <c r="DB63" s="246" t="str">
        <f>IFERROR(VLOOKUP(BZ63,productData[],22,FALSE),"")</f>
        <v/>
      </c>
      <c r="EE63" s="329" t="str">
        <f t="array" ref="EE63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/>
      </c>
      <c r="EF63" s="493" t="str">
        <f t="array" ref="EF63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/>
      </c>
      <c r="EG63" s="330" t="str">
        <f>IFERROR(IF('BHPC MANAGER'!$EE63="","",INDEX(inventory[ESISTENZA],MATCH('BHPC MANAGER'!$EE63,inventory[SKU],0))),0)</f>
        <v/>
      </c>
      <c r="EH63" s="331" t="s">
        <v>241</v>
      </c>
      <c r="EI63" s="331" t="str">
        <f t="shared" si="4"/>
        <v/>
      </c>
      <c r="EJ63" s="332" t="s">
        <v>241</v>
      </c>
      <c r="EK63" s="333" t="str">
        <f t="shared" si="5"/>
        <v/>
      </c>
    </row>
    <row r="64" spans="10:145" ht="15" customHeight="1" x14ac:dyDescent="0.35">
      <c r="L64" s="280" t="str">
        <f t="array" ref="L64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4" s="281" t="str">
        <f t="array" ref="M64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4" s="282" t="str">
        <f t="array" ref="N64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4" s="283" t="str">
        <f t="array" ref="O64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4" s="284" t="str">
        <f t="array" ref="P64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4" s="285" t="str">
        <f t="array" ref="Q64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4" s="286" t="str">
        <f t="array" ref="R64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4" s="345" t="str">
        <f t="array" ref="S64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4" s="287" t="str">
        <f t="array" ref="T64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4" s="282" t="str">
        <f t="array" ref="U64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4" s="287" t="str">
        <f t="array" ref="V64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4" s="384" t="str">
        <f t="array" ref="W64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4" s="190"/>
      <c r="BK64" s="261"/>
      <c r="BL64" s="262"/>
      <c r="BM64" s="263"/>
      <c r="BN64" s="262"/>
      <c r="BO64" s="263"/>
      <c r="BZ64" s="296"/>
      <c r="CA64" s="297" t="str">
        <f>IFERROR(IF(BZ64="","",INDEX(productData[description],MATCH(BZ64,productData[sku],0))),"")</f>
        <v/>
      </c>
      <c r="CB64" s="299"/>
      <c r="CC64" s="413"/>
      <c r="CD64" s="307"/>
      <c r="CE64" s="418"/>
      <c r="CF64" s="300"/>
      <c r="CG64" s="301" t="str">
        <f>IFERROR(ROUNDUP(CB64/INDEX(productData[units_per_carton],MATCH(BZ64,productData[sku],0)),0),"")</f>
        <v/>
      </c>
      <c r="CH64" s="302" t="str">
        <f>IFERROR(ROUNDUP(CD64/INDEX(productData[units_per_carton],MATCH(BZ64,productData[sku],0)),0),"")</f>
        <v/>
      </c>
      <c r="CI64" s="302" t="str">
        <f>IFERROR(ROUNDUP(CF64/INDEX(productData[units_per_carton],MATCH(BZ64,productData[sku])),0),"")</f>
        <v/>
      </c>
      <c r="CJ64" s="302" t="str">
        <f>IFERROR(((CB64+CD64+CF64)/INDEX(productData[units_per_carton],MATCH(BZ64,productData[sku],0)))*INDEX(productData[net_weight],MATCH(BZ64,productData[sku],0)),"")</f>
        <v/>
      </c>
      <c r="CK64" s="302" t="str">
        <f>IFERROR(((CB64+CD64+CF64)/INDEX(productData[units_per_carton],MATCH(BZ64,productData[sku],0)))*INDEX(productData[gross_weight],MATCH(BZ64,productData[sku],0)),"")</f>
        <v/>
      </c>
      <c r="CL64" s="406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03" t="str">
        <f>IFERROR(INDEX(productData[category],MATCH(BZ64,productData[sku],0)),"")</f>
        <v/>
      </c>
      <c r="CN64" s="303" t="str">
        <f>IFERROR(INDEX(productData[size1],MATCH(BZ64,productData[sku],0)),"")</f>
        <v/>
      </c>
      <c r="CO64" s="304" t="str">
        <f>IFERROR(INDEX(productData[hs_code],MATCH(BZ64,productData[sku],0)),"")</f>
        <v/>
      </c>
      <c r="CP64" s="357" t="str">
        <f>IFERROR(INDEX(productData[sku_geko],MATCH(BZ64,productData[sku],0)),"")</f>
        <v/>
      </c>
      <c r="CQ64" s="300"/>
      <c r="CR64" s="375" t="str">
        <f>IFERROR(IF(BZ64="","",IF($BX$15="SALE",INDEX(inventory[COSTO UNITARIO],MATCH(BZ64,inventory[SKU],0)),IF($BX$15="SAMPLING",INDEX(inventory[COSTO UNITARIO],MATCH(BZ64,inventory[SKU],0)),""))),"")</f>
        <v/>
      </c>
      <c r="CS64" s="375" t="str">
        <f t="shared" si="6"/>
        <v/>
      </c>
      <c r="CT64" s="422" t="str">
        <f t="shared" si="7"/>
        <v/>
      </c>
      <c r="CU64" s="349" t="str">
        <f t="shared" si="3"/>
        <v/>
      </c>
      <c r="DB64" s="246" t="str">
        <f>IFERROR(VLOOKUP(BZ64,productData[],22,FALSE),"")</f>
        <v/>
      </c>
      <c r="EE64" s="334" t="str">
        <f t="array" ref="EE64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/>
      </c>
      <c r="EF64" s="494" t="str">
        <f t="array" ref="EF64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/>
      </c>
      <c r="EG64" s="335" t="str">
        <f>IFERROR(IF('BHPC MANAGER'!$EE64="","",INDEX(inventory[ESISTENZA],MATCH('BHPC MANAGER'!$EE64,inventory[SKU],0))),0)</f>
        <v/>
      </c>
      <c r="EH64" s="336" t="s">
        <v>241</v>
      </c>
      <c r="EI64" s="336" t="str">
        <f t="shared" si="4"/>
        <v/>
      </c>
      <c r="EJ64" s="337" t="s">
        <v>241</v>
      </c>
      <c r="EK64" s="338" t="str">
        <f t="shared" si="5"/>
        <v/>
      </c>
    </row>
    <row r="65" spans="12:141" ht="15" customHeight="1" x14ac:dyDescent="0.35">
      <c r="L65" s="280" t="str">
        <f t="array" ref="L65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5" s="281" t="str">
        <f t="array" ref="M65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5" s="282" t="str">
        <f t="array" ref="N65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5" s="283" t="str">
        <f t="array" ref="O65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5" s="284" t="str">
        <f t="array" ref="P65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5" s="285" t="str">
        <f t="array" ref="Q65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5" s="286" t="str">
        <f t="array" ref="R65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5" s="345" t="str">
        <f t="array" ref="S65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5" s="287" t="str">
        <f t="array" ref="T65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5" s="282" t="str">
        <f t="array" ref="U65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5" s="287" t="str">
        <f t="array" ref="V65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5" s="384" t="str">
        <f t="array" ref="W65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5" s="190"/>
      <c r="BK65" s="261"/>
      <c r="BL65" s="262"/>
      <c r="BM65" s="263"/>
      <c r="BN65" s="262"/>
      <c r="BO65" s="263"/>
      <c r="BZ65" s="296"/>
      <c r="CA65" s="297" t="str">
        <f>IFERROR(IF(BZ65="","",INDEX(productData[description],MATCH(BZ65,productData[sku],0))),"")</f>
        <v/>
      </c>
      <c r="CB65" s="299"/>
      <c r="CC65" s="413"/>
      <c r="CD65" s="307"/>
      <c r="CE65" s="418"/>
      <c r="CF65" s="300"/>
      <c r="CG65" s="301" t="str">
        <f>IFERROR(ROUNDUP(CB65/INDEX(productData[units_per_carton],MATCH(BZ65,productData[sku],0)),0),"")</f>
        <v/>
      </c>
      <c r="CH65" s="302" t="str">
        <f>IFERROR(ROUNDUP(CD65/INDEX(productData[units_per_carton],MATCH(BZ65,productData[sku],0)),0),"")</f>
        <v/>
      </c>
      <c r="CI65" s="302" t="str">
        <f>IFERROR(ROUNDUP(CF65/INDEX(productData[units_per_carton],MATCH(BZ65,productData[sku])),0),"")</f>
        <v/>
      </c>
      <c r="CJ65" s="302" t="str">
        <f>IFERROR(((CB65+CD65+CF65)/INDEX(productData[units_per_carton],MATCH(BZ65,productData[sku],0)))*INDEX(productData[net_weight],MATCH(BZ65,productData[sku],0)),"")</f>
        <v/>
      </c>
      <c r="CK65" s="302" t="str">
        <f>IFERROR(((CB65+CD65+CF65)/INDEX(productData[units_per_carton],MATCH(BZ65,productData[sku],0)))*INDEX(productData[gross_weight],MATCH(BZ65,productData[sku],0)),"")</f>
        <v/>
      </c>
      <c r="CL65" s="406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03" t="str">
        <f>IFERROR(INDEX(productData[category],MATCH(BZ65,productData[sku],0)),"")</f>
        <v/>
      </c>
      <c r="CN65" s="303" t="str">
        <f>IFERROR(INDEX(productData[size1],MATCH(BZ65,productData[sku],0)),"")</f>
        <v/>
      </c>
      <c r="CO65" s="304" t="str">
        <f>IFERROR(INDEX(productData[hs_code],MATCH(BZ65,productData[sku],0)),"")</f>
        <v/>
      </c>
      <c r="CP65" s="357" t="str">
        <f>IFERROR(INDEX(productData[sku_geko],MATCH(BZ65,productData[sku],0)),"")</f>
        <v/>
      </c>
      <c r="CQ65" s="300"/>
      <c r="CR65" s="375" t="str">
        <f>IFERROR(IF(BZ65="","",IF($BX$15="SALE",INDEX(inventory[COSTO UNITARIO],MATCH(BZ65,inventory[SKU],0)),IF($BX$15="SAMPLING",INDEX(inventory[COSTO UNITARIO],MATCH(BZ65,inventory[SKU],0)),""))),"")</f>
        <v/>
      </c>
      <c r="CS65" s="375" t="str">
        <f t="shared" si="6"/>
        <v/>
      </c>
      <c r="CT65" s="422" t="str">
        <f t="shared" si="7"/>
        <v/>
      </c>
      <c r="CU65" s="349" t="str">
        <f t="shared" si="3"/>
        <v/>
      </c>
      <c r="DB65" s="246" t="str">
        <f>IFERROR(VLOOKUP(BZ65,productData[],22,FALSE),"")</f>
        <v/>
      </c>
      <c r="EE65" s="329" t="str">
        <f t="array" ref="EE65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/>
      </c>
      <c r="EF65" s="493" t="str">
        <f t="array" ref="EF65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/>
      </c>
      <c r="EG65" s="330" t="str">
        <f>IFERROR(IF('BHPC MANAGER'!$EE65="","",INDEX(inventory[ESISTENZA],MATCH('BHPC MANAGER'!$EE65,inventory[SKU],0))),0)</f>
        <v/>
      </c>
      <c r="EH65" s="331" t="s">
        <v>241</v>
      </c>
      <c r="EI65" s="331" t="str">
        <f t="shared" si="4"/>
        <v/>
      </c>
      <c r="EJ65" s="332" t="s">
        <v>241</v>
      </c>
      <c r="EK65" s="333" t="str">
        <f t="shared" si="5"/>
        <v/>
      </c>
    </row>
    <row r="66" spans="12:141" ht="15" customHeight="1" x14ac:dyDescent="0.35">
      <c r="L66" s="280" t="str">
        <f t="array" ref="L66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6" s="281" t="str">
        <f t="array" ref="M66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6" s="282" t="str">
        <f t="array" ref="N66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6" s="283" t="str">
        <f t="array" ref="O66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6" s="284" t="str">
        <f t="array" ref="P66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6" s="285" t="str">
        <f t="array" ref="Q66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6" s="286" t="str">
        <f t="array" ref="R66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6" s="345" t="str">
        <f t="array" ref="S66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6" s="287" t="str">
        <f t="array" ref="T66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6" s="282" t="str">
        <f t="array" ref="U66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6" s="287" t="str">
        <f t="array" ref="V66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6" s="384" t="str">
        <f t="array" ref="W66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6" s="190"/>
      <c r="BK66" s="261"/>
      <c r="BL66" s="262"/>
      <c r="BM66" s="263"/>
      <c r="BN66" s="262"/>
      <c r="BO66" s="263"/>
      <c r="BZ66" s="296"/>
      <c r="CA66" s="297" t="str">
        <f>IFERROR(IF(BZ66="","",INDEX(productData[description],MATCH(BZ66,productData[sku],0))),"")</f>
        <v/>
      </c>
      <c r="CB66" s="299"/>
      <c r="CC66" s="413"/>
      <c r="CD66" s="307"/>
      <c r="CE66" s="418"/>
      <c r="CF66" s="300"/>
      <c r="CG66" s="301" t="str">
        <f>IFERROR(ROUNDUP(CB66/INDEX(productData[units_per_carton],MATCH(BZ66,productData[sku],0)),0),"")</f>
        <v/>
      </c>
      <c r="CH66" s="302" t="str">
        <f>IFERROR(ROUNDUP(CD66/INDEX(productData[units_per_carton],MATCH(BZ66,productData[sku],0)),0),"")</f>
        <v/>
      </c>
      <c r="CI66" s="302" t="str">
        <f>IFERROR(ROUNDUP(CF66/INDEX(productData[units_per_carton],MATCH(BZ66,productData[sku])),0),"")</f>
        <v/>
      </c>
      <c r="CJ66" s="302" t="str">
        <f>IFERROR(((CB66+CD66+CF66)/INDEX(productData[units_per_carton],MATCH(BZ66,productData[sku],0)))*INDEX(productData[net_weight],MATCH(BZ66,productData[sku],0)),"")</f>
        <v/>
      </c>
      <c r="CK66" s="302" t="str">
        <f>IFERROR(((CB66+CD66+CF66)/INDEX(productData[units_per_carton],MATCH(BZ66,productData[sku],0)))*INDEX(productData[gross_weight],MATCH(BZ66,productData[sku],0)),"")</f>
        <v/>
      </c>
      <c r="CL66" s="406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03" t="str">
        <f>IFERROR(INDEX(productData[category],MATCH(BZ66,productData[sku],0)),"")</f>
        <v/>
      </c>
      <c r="CN66" s="303" t="str">
        <f>IFERROR(INDEX(productData[size1],MATCH(BZ66,productData[sku],0)),"")</f>
        <v/>
      </c>
      <c r="CO66" s="304" t="str">
        <f>IFERROR(INDEX(productData[hs_code],MATCH(BZ66,productData[sku],0)),"")</f>
        <v/>
      </c>
      <c r="CP66" s="357" t="str">
        <f>IFERROR(INDEX(productData[sku_geko],MATCH(BZ66,productData[sku],0)),"")</f>
        <v/>
      </c>
      <c r="CQ66" s="300"/>
      <c r="CR66" s="375" t="str">
        <f>IFERROR(IF(BZ66="","",IF($BX$15="SALE",INDEX(inventory[COSTO UNITARIO],MATCH(BZ66,inventory[SKU],0)),IF($BX$15="SAMPLING",INDEX(inventory[COSTO UNITARIO],MATCH(BZ66,inventory[SKU],0)),""))),"")</f>
        <v/>
      </c>
      <c r="CS66" s="375" t="str">
        <f t="shared" si="6"/>
        <v/>
      </c>
      <c r="CT66" s="422" t="str">
        <f t="shared" si="7"/>
        <v/>
      </c>
      <c r="CU66" s="349" t="str">
        <f t="shared" si="3"/>
        <v/>
      </c>
      <c r="DB66" s="246" t="str">
        <f>IFERROR(VLOOKUP(BZ66,productData[],22,FALSE),"")</f>
        <v/>
      </c>
      <c r="EE66" s="334" t="str">
        <f t="array" ref="EE66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/>
      </c>
      <c r="EF66" s="494" t="str">
        <f t="array" ref="EF66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/>
      </c>
      <c r="EG66" s="335" t="str">
        <f>IFERROR(IF('BHPC MANAGER'!$EE66="","",INDEX(inventory[ESISTENZA],MATCH('BHPC MANAGER'!$EE66,inventory[SKU],0))),0)</f>
        <v/>
      </c>
      <c r="EH66" s="336" t="s">
        <v>241</v>
      </c>
      <c r="EI66" s="336" t="str">
        <f t="shared" si="4"/>
        <v/>
      </c>
      <c r="EJ66" s="337" t="s">
        <v>241</v>
      </c>
      <c r="EK66" s="338" t="str">
        <f t="shared" si="5"/>
        <v/>
      </c>
    </row>
    <row r="67" spans="12:141" ht="15" customHeight="1" x14ac:dyDescent="0.35">
      <c r="L67" s="280" t="str">
        <f t="array" ref="L67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7" s="281" t="str">
        <f t="array" ref="M67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7" s="282" t="str">
        <f t="array" ref="N67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7" s="283" t="str">
        <f t="array" ref="O67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7" s="284" t="str">
        <f t="array" ref="P67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7" s="285" t="str">
        <f t="array" ref="Q67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7" s="286" t="str">
        <f t="array" ref="R67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7" s="345" t="str">
        <f t="array" ref="S67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7" s="287" t="str">
        <f t="array" ref="T67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7" s="282" t="str">
        <f t="array" ref="U67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7" s="287" t="str">
        <f t="array" ref="V67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7" s="384" t="str">
        <f t="array" ref="W67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7" s="190"/>
      <c r="BK67" s="261"/>
      <c r="BL67" s="262"/>
      <c r="BM67" s="263"/>
      <c r="BN67" s="262"/>
      <c r="BO67" s="263"/>
      <c r="BZ67" s="296"/>
      <c r="CA67" s="297" t="str">
        <f>IFERROR(IF(BZ67="","",INDEX(productData[description],MATCH(BZ67,productData[sku],0))),"")</f>
        <v/>
      </c>
      <c r="CB67" s="299"/>
      <c r="CC67" s="413"/>
      <c r="CD67" s="307"/>
      <c r="CE67" s="418"/>
      <c r="CF67" s="300"/>
      <c r="CG67" s="301" t="str">
        <f>IFERROR(ROUNDUP(CB67/INDEX(productData[units_per_carton],MATCH(BZ67,productData[sku],0)),0),"")</f>
        <v/>
      </c>
      <c r="CH67" s="302" t="str">
        <f>IFERROR(ROUNDUP(CD67/INDEX(productData[units_per_carton],MATCH(BZ67,productData[sku],0)),0),"")</f>
        <v/>
      </c>
      <c r="CI67" s="302" t="str">
        <f>IFERROR(ROUNDUP(CF67/INDEX(productData[units_per_carton],MATCH(BZ67,productData[sku])),0),"")</f>
        <v/>
      </c>
      <c r="CJ67" s="302" t="str">
        <f>IFERROR(((CB67+CD67+CF67)/INDEX(productData[units_per_carton],MATCH(BZ67,productData[sku],0)))*INDEX(productData[net_weight],MATCH(BZ67,productData[sku],0)),"")</f>
        <v/>
      </c>
      <c r="CK67" s="302" t="str">
        <f>IFERROR(((CB67+CD67+CF67)/INDEX(productData[units_per_carton],MATCH(BZ67,productData[sku],0)))*INDEX(productData[gross_weight],MATCH(BZ67,productData[sku],0)),"")</f>
        <v/>
      </c>
      <c r="CL67" s="406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03" t="str">
        <f>IFERROR(INDEX(productData[category],MATCH(BZ67,productData[sku],0)),"")</f>
        <v/>
      </c>
      <c r="CN67" s="303" t="str">
        <f>IFERROR(INDEX(productData[size1],MATCH(BZ67,productData[sku],0)),"")</f>
        <v/>
      </c>
      <c r="CO67" s="304" t="str">
        <f>IFERROR(INDEX(productData[hs_code],MATCH(BZ67,productData[sku],0)),"")</f>
        <v/>
      </c>
      <c r="CP67" s="357" t="str">
        <f>IFERROR(INDEX(productData[sku_geko],MATCH(BZ67,productData[sku],0)),"")</f>
        <v/>
      </c>
      <c r="CQ67" s="300"/>
      <c r="CR67" s="375" t="str">
        <f>IFERROR(IF(BZ67="","",IF($BX$15="SALE",INDEX(inventory[COSTO UNITARIO],MATCH(BZ67,inventory[SKU],0)),IF($BX$15="SAMPLING",INDEX(inventory[COSTO UNITARIO],MATCH(BZ67,inventory[SKU],0)),""))),"")</f>
        <v/>
      </c>
      <c r="CS67" s="375" t="str">
        <f t="shared" si="6"/>
        <v/>
      </c>
      <c r="CT67" s="422" t="str">
        <f t="shared" si="7"/>
        <v/>
      </c>
      <c r="CU67" s="349" t="str">
        <f t="shared" si="3"/>
        <v/>
      </c>
      <c r="DB67" s="246" t="str">
        <f>IFERROR(VLOOKUP(BZ67,productData[],22,FALSE),"")</f>
        <v/>
      </c>
      <c r="EE67" s="329" t="str">
        <f t="array" ref="EE67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/>
      </c>
      <c r="EF67" s="493" t="str">
        <f t="array" ref="EF67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/>
      </c>
      <c r="EG67" s="330" t="str">
        <f>IFERROR(IF('BHPC MANAGER'!$EE67="","",INDEX(inventory[ESISTENZA],MATCH('BHPC MANAGER'!$EE67,inventory[SKU],0))),0)</f>
        <v/>
      </c>
      <c r="EH67" s="331" t="s">
        <v>241</v>
      </c>
      <c r="EI67" s="331" t="str">
        <f t="shared" si="4"/>
        <v/>
      </c>
      <c r="EJ67" s="332" t="s">
        <v>241</v>
      </c>
      <c r="EK67" s="333" t="str">
        <f t="shared" si="5"/>
        <v/>
      </c>
    </row>
    <row r="68" spans="12:141" ht="15" customHeight="1" x14ac:dyDescent="0.35">
      <c r="L68" s="280" t="str">
        <f t="array" ref="L68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68" s="281" t="str">
        <f t="array" ref="M68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68" s="282" t="str">
        <f t="array" ref="N68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68" s="283" t="str">
        <f t="array" ref="O68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68" s="284" t="str">
        <f t="array" ref="P68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68" s="285" t="str">
        <f t="array" ref="Q68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68" s="286" t="str">
        <f t="array" ref="R68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68" s="345" t="str">
        <f t="array" ref="S68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68" s="287" t="str">
        <f t="array" ref="T68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68" s="282" t="str">
        <f t="array" ref="U68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68" s="287" t="str">
        <f t="array" ref="V68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68" s="384" t="str">
        <f t="array" ref="W68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68" s="190"/>
      <c r="BK68" s="261"/>
      <c r="BL68" s="262"/>
      <c r="BM68" s="263"/>
      <c r="BN68" s="262"/>
      <c r="BO68" s="263"/>
      <c r="BZ68" s="296"/>
      <c r="CA68" s="297" t="str">
        <f>IFERROR(IF(BZ68="","",INDEX(productData[description],MATCH(BZ68,productData[sku],0))),"")</f>
        <v/>
      </c>
      <c r="CB68" s="299"/>
      <c r="CC68" s="413"/>
      <c r="CD68" s="307"/>
      <c r="CE68" s="418"/>
      <c r="CF68" s="300"/>
      <c r="CG68" s="301" t="str">
        <f>IFERROR(ROUNDUP(CB68/INDEX(productData[units_per_carton],MATCH(BZ68,productData[sku],0)),0),"")</f>
        <v/>
      </c>
      <c r="CH68" s="302" t="str">
        <f>IFERROR(ROUNDUP(CD68/INDEX(productData[units_per_carton],MATCH(BZ68,productData[sku],0)),0),"")</f>
        <v/>
      </c>
      <c r="CI68" s="302" t="str">
        <f>IFERROR(ROUNDUP(CF68/INDEX(productData[units_per_carton],MATCH(BZ68,productData[sku])),0),"")</f>
        <v/>
      </c>
      <c r="CJ68" s="302" t="str">
        <f>IFERROR(((CB68+CD68+CF68)/INDEX(productData[units_per_carton],MATCH(BZ68,productData[sku],0)))*INDEX(productData[net_weight],MATCH(BZ68,productData[sku],0)),"")</f>
        <v/>
      </c>
      <c r="CK68" s="302" t="str">
        <f>IFERROR(((CB68+CD68+CF68)/INDEX(productData[units_per_carton],MATCH(BZ68,productData[sku],0)))*INDEX(productData[gross_weight],MATCH(BZ68,productData[sku],0)),"")</f>
        <v/>
      </c>
      <c r="CL68" s="406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03" t="str">
        <f>IFERROR(INDEX(productData[category],MATCH(BZ68,productData[sku],0)),"")</f>
        <v/>
      </c>
      <c r="CN68" s="303" t="str">
        <f>IFERROR(INDEX(productData[size1],MATCH(BZ68,productData[sku],0)),"")</f>
        <v/>
      </c>
      <c r="CO68" s="304" t="str">
        <f>IFERROR(INDEX(productData[hs_code],MATCH(BZ68,productData[sku],0)),"")</f>
        <v/>
      </c>
      <c r="CP68" s="357" t="str">
        <f>IFERROR(INDEX(productData[sku_geko],MATCH(BZ68,productData[sku],0)),"")</f>
        <v/>
      </c>
      <c r="CQ68" s="300"/>
      <c r="CR68" s="375" t="str">
        <f>IFERROR(IF(BZ68="","",IF($BX$15="SALE",INDEX(inventory[COSTO UNITARIO],MATCH(BZ68,inventory[SKU],0)),IF($BX$15="SAMPLING",INDEX(inventory[COSTO UNITARIO],MATCH(BZ68,inventory[SKU],0)),""))),"")</f>
        <v/>
      </c>
      <c r="CS68" s="375" t="str">
        <f t="shared" si="6"/>
        <v/>
      </c>
      <c r="CT68" s="422" t="str">
        <f t="shared" si="7"/>
        <v/>
      </c>
      <c r="CU68" s="349" t="str">
        <f t="shared" si="3"/>
        <v/>
      </c>
      <c r="DB68" s="246" t="str">
        <f>IFERROR(VLOOKUP(BZ68,productData[],22,FALSE),"")</f>
        <v/>
      </c>
      <c r="EE68" s="334" t="str">
        <f t="array" ref="EE68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/>
      </c>
      <c r="EF68" s="494" t="str">
        <f t="array" ref="EF68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/>
      </c>
      <c r="EG68" s="335" t="str">
        <f>IFERROR(IF('BHPC MANAGER'!$EE68="","",INDEX(inventory[ESISTENZA],MATCH('BHPC MANAGER'!$EE68,inventory[SKU],0))),0)</f>
        <v/>
      </c>
      <c r="EH68" s="336" t="s">
        <v>241</v>
      </c>
      <c r="EI68" s="336" t="str">
        <f t="shared" si="4"/>
        <v/>
      </c>
      <c r="EJ68" s="337" t="s">
        <v>241</v>
      </c>
      <c r="EK68" s="338" t="str">
        <f t="shared" si="5"/>
        <v/>
      </c>
    </row>
    <row r="69" spans="12:141" ht="15" customHeight="1" x14ac:dyDescent="0.35">
      <c r="L69" s="280" t="str">
        <f t="array" ref="L69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69" s="281" t="str">
        <f t="array" ref="M69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69" s="282" t="str">
        <f t="array" ref="N69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69" s="283" t="str">
        <f t="array" ref="O69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69" s="284" t="str">
        <f t="array" ref="P69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69" s="285" t="str">
        <f t="array" ref="Q69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69" s="286" t="str">
        <f t="array" ref="R69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69" s="345" t="str">
        <f t="array" ref="S69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69" s="287" t="str">
        <f t="array" ref="T69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69" s="282" t="str">
        <f t="array" ref="U69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69" s="287" t="str">
        <f t="array" ref="V69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69" s="384" t="str">
        <f t="array" ref="W69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69" s="190"/>
      <c r="BK69" s="261"/>
      <c r="BL69" s="262"/>
      <c r="BM69" s="263"/>
      <c r="BN69" s="262"/>
      <c r="BO69" s="263"/>
      <c r="BZ69" s="296"/>
      <c r="CA69" s="297" t="str">
        <f>IFERROR(IF(BZ69="","",INDEX(productData[description],MATCH(BZ69,productData[sku],0))),"")</f>
        <v/>
      </c>
      <c r="CB69" s="299"/>
      <c r="CC69" s="413"/>
      <c r="CD69" s="307"/>
      <c r="CE69" s="418"/>
      <c r="CF69" s="300"/>
      <c r="CG69" s="301" t="str">
        <f>IFERROR(ROUNDUP(CB69/INDEX(productData[units_per_carton],MATCH(BZ69,productData[sku],0)),0),"")</f>
        <v/>
      </c>
      <c r="CH69" s="302" t="str">
        <f>IFERROR(ROUNDUP(CD69/INDEX(productData[units_per_carton],MATCH(BZ69,productData[sku],0)),0),"")</f>
        <v/>
      </c>
      <c r="CI69" s="302" t="str">
        <f>IFERROR(ROUNDUP(CF69/INDEX(productData[units_per_carton],MATCH(BZ69,productData[sku])),0),"")</f>
        <v/>
      </c>
      <c r="CJ69" s="302" t="str">
        <f>IFERROR(((CB69+CD69+CF69)/INDEX(productData[units_per_carton],MATCH(BZ69,productData[sku],0)))*INDEX(productData[net_weight],MATCH(BZ69,productData[sku],0)),"")</f>
        <v/>
      </c>
      <c r="CK69" s="302" t="str">
        <f>IFERROR(((CB69+CD69+CF69)/INDEX(productData[units_per_carton],MATCH(BZ69,productData[sku],0)))*INDEX(productData[gross_weight],MATCH(BZ69,productData[sku],0)),"")</f>
        <v/>
      </c>
      <c r="CL69" s="406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03" t="str">
        <f>IFERROR(INDEX(productData[category],MATCH(BZ69,productData[sku],0)),"")</f>
        <v/>
      </c>
      <c r="CN69" s="303" t="str">
        <f>IFERROR(INDEX(productData[size1],MATCH(BZ69,productData[sku],0)),"")</f>
        <v/>
      </c>
      <c r="CO69" s="304" t="str">
        <f>IFERROR(INDEX(productData[hs_code],MATCH(BZ69,productData[sku],0)),"")</f>
        <v/>
      </c>
      <c r="CP69" s="357" t="str">
        <f>IFERROR(INDEX(productData[sku_geko],MATCH(BZ69,productData[sku],0)),"")</f>
        <v/>
      </c>
      <c r="CQ69" s="300"/>
      <c r="CR69" s="375" t="str">
        <f>IFERROR(IF(BZ69="","",IF($BX$15="SALE",INDEX(inventory[COSTO UNITARIO],MATCH(BZ69,inventory[SKU],0)),IF($BX$15="SAMPLING",INDEX(inventory[COSTO UNITARIO],MATCH(BZ69,inventory[SKU],0)),""))),"")</f>
        <v/>
      </c>
      <c r="CS69" s="375" t="str">
        <f t="shared" si="6"/>
        <v/>
      </c>
      <c r="CT69" s="422" t="str">
        <f t="shared" si="7"/>
        <v/>
      </c>
      <c r="CU69" s="349" t="str">
        <f t="shared" si="3"/>
        <v/>
      </c>
      <c r="DB69" s="246" t="str">
        <f>IFERROR(VLOOKUP(BZ69,productData[],22,FALSE),"")</f>
        <v/>
      </c>
      <c r="EE69" s="329" t="str">
        <f t="array" ref="EE69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/>
      </c>
      <c r="EF69" s="493" t="str">
        <f t="array" ref="EF69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/>
      </c>
      <c r="EG69" s="330" t="str">
        <f>IFERROR(IF('BHPC MANAGER'!$EE69="","",INDEX(inventory[ESISTENZA],MATCH('BHPC MANAGER'!$EE69,inventory[SKU],0))),0)</f>
        <v/>
      </c>
      <c r="EH69" s="331" t="s">
        <v>241</v>
      </c>
      <c r="EI69" s="331" t="str">
        <f t="shared" si="4"/>
        <v/>
      </c>
      <c r="EJ69" s="332" t="s">
        <v>241</v>
      </c>
      <c r="EK69" s="333" t="str">
        <f t="shared" si="5"/>
        <v/>
      </c>
    </row>
    <row r="70" spans="12:141" ht="15" customHeight="1" x14ac:dyDescent="0.35">
      <c r="L70" s="280" t="str">
        <f t="array" ref="L70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0" s="281" t="str">
        <f t="array" ref="M70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0" s="282" t="str">
        <f t="array" ref="N70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0" s="283" t="str">
        <f t="array" ref="O70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0" s="284" t="str">
        <f t="array" ref="P70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0" s="285" t="str">
        <f t="array" ref="Q70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0" s="286" t="str">
        <f t="array" ref="R70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0" s="345" t="str">
        <f t="array" ref="S70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0" s="287" t="str">
        <f t="array" ref="T70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0" s="282" t="str">
        <f t="array" ref="U70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0" s="287" t="str">
        <f t="array" ref="V70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0" s="384" t="str">
        <f t="array" ref="W70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0" s="190"/>
      <c r="BK70" s="261"/>
      <c r="BL70" s="262"/>
      <c r="BM70" s="263"/>
      <c r="BN70" s="262"/>
      <c r="BO70" s="263"/>
      <c r="BZ70" s="296"/>
      <c r="CA70" s="297" t="str">
        <f>IFERROR(IF(BZ70="","",INDEX(productData[description],MATCH(BZ70,productData[sku],0))),"")</f>
        <v/>
      </c>
      <c r="CB70" s="299"/>
      <c r="CC70" s="413"/>
      <c r="CD70" s="307"/>
      <c r="CE70" s="418"/>
      <c r="CF70" s="300"/>
      <c r="CG70" s="301" t="str">
        <f>IFERROR(ROUNDUP(CB70/INDEX(productData[units_per_carton],MATCH(BZ70,productData[sku],0)),0),"")</f>
        <v/>
      </c>
      <c r="CH70" s="302" t="str">
        <f>IFERROR(ROUNDUP(CD70/INDEX(productData[units_per_carton],MATCH(BZ70,productData[sku],0)),0),"")</f>
        <v/>
      </c>
      <c r="CI70" s="302" t="str">
        <f>IFERROR(ROUNDUP(CF70/INDEX(productData[units_per_carton],MATCH(BZ70,productData[sku])),0),"")</f>
        <v/>
      </c>
      <c r="CJ70" s="302" t="str">
        <f>IFERROR(((CB70+CD70+CF70)/INDEX(productData[units_per_carton],MATCH(BZ70,productData[sku],0)))*INDEX(productData[net_weight],MATCH(BZ70,productData[sku],0)),"")</f>
        <v/>
      </c>
      <c r="CK70" s="302" t="str">
        <f>IFERROR(((CB70+CD70+CF70)/INDEX(productData[units_per_carton],MATCH(BZ70,productData[sku],0)))*INDEX(productData[gross_weight],MATCH(BZ70,productData[sku],0)),"")</f>
        <v/>
      </c>
      <c r="CL70" s="406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03" t="str">
        <f>IFERROR(INDEX(productData[category],MATCH(BZ70,productData[sku],0)),"")</f>
        <v/>
      </c>
      <c r="CN70" s="303" t="str">
        <f>IFERROR(INDEX(productData[size1],MATCH(BZ70,productData[sku],0)),"")</f>
        <v/>
      </c>
      <c r="CO70" s="304" t="str">
        <f>IFERROR(INDEX(productData[hs_code],MATCH(BZ70,productData[sku],0)),"")</f>
        <v/>
      </c>
      <c r="CP70" s="357" t="str">
        <f>IFERROR(INDEX(productData[sku_geko],MATCH(BZ70,productData[sku],0)),"")</f>
        <v/>
      </c>
      <c r="CQ70" s="300"/>
      <c r="CR70" s="375" t="str">
        <f>IFERROR(IF(BZ70="","",IF($BX$15="SALE",INDEX(inventory[COSTO UNITARIO],MATCH(BZ70,inventory[SKU],0)),IF($BX$15="SAMPLING",INDEX(inventory[COSTO UNITARIO],MATCH(BZ70,inventory[SKU],0)),""))),"")</f>
        <v/>
      </c>
      <c r="CS70" s="375" t="str">
        <f t="shared" si="6"/>
        <v/>
      </c>
      <c r="CT70" s="422" t="str">
        <f t="shared" si="7"/>
        <v/>
      </c>
      <c r="CU70" s="349" t="str">
        <f t="shared" si="3"/>
        <v/>
      </c>
      <c r="DB70" s="246" t="str">
        <f>IFERROR(VLOOKUP(BZ70,productData[],22,FALSE),"")</f>
        <v/>
      </c>
      <c r="EE70" s="334" t="str">
        <f t="array" ref="EE70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/>
      </c>
      <c r="EF70" s="494" t="str">
        <f t="array" ref="EF70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/>
      </c>
      <c r="EG70" s="335" t="str">
        <f>IFERROR(IF('BHPC MANAGER'!$EE70="","",INDEX(inventory[ESISTENZA],MATCH('BHPC MANAGER'!$EE70,inventory[SKU],0))),0)</f>
        <v/>
      </c>
      <c r="EH70" s="336" t="s">
        <v>241</v>
      </c>
      <c r="EI70" s="336" t="str">
        <f t="shared" si="4"/>
        <v/>
      </c>
      <c r="EJ70" s="337" t="s">
        <v>241</v>
      </c>
      <c r="EK70" s="338" t="str">
        <f t="shared" si="5"/>
        <v/>
      </c>
    </row>
    <row r="71" spans="12:141" ht="15" customHeight="1" x14ac:dyDescent="0.35">
      <c r="L71" s="280" t="str">
        <f t="array" ref="L71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1" s="281" t="str">
        <f t="array" ref="M71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1" s="282" t="str">
        <f t="array" ref="N71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1" s="283" t="str">
        <f t="array" ref="O71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1" s="284" t="str">
        <f t="array" ref="P71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1" s="285" t="str">
        <f t="array" ref="Q71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1" s="286" t="str">
        <f t="array" ref="R71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1" s="345" t="str">
        <f t="array" ref="S71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1" s="287" t="str">
        <f t="array" ref="T71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1" s="282" t="str">
        <f t="array" ref="U71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1" s="287" t="str">
        <f t="array" ref="V71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1" s="384" t="str">
        <f t="array" ref="W71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1" s="190"/>
      <c r="BK71" s="261"/>
      <c r="BL71" s="262"/>
      <c r="BM71" s="263"/>
      <c r="BN71" s="262"/>
      <c r="BO71" s="263"/>
      <c r="BZ71" s="310"/>
      <c r="CA71" s="297" t="str">
        <f>IFERROR(IF(BZ71="","",INDEX(productData[description],MATCH(BZ71,productData[sku],0))),"")</f>
        <v/>
      </c>
      <c r="CB71" s="299"/>
      <c r="CC71" s="413"/>
      <c r="CD71" s="307"/>
      <c r="CE71" s="418"/>
      <c r="CF71" s="300"/>
      <c r="CG71" s="301" t="str">
        <f>IFERROR(ROUNDUP(CB71/INDEX(productData[units_per_carton],MATCH(BZ71,productData[sku],0)),0),"")</f>
        <v/>
      </c>
      <c r="CH71" s="302" t="str">
        <f>IFERROR(ROUNDUP(CD71/INDEX(productData[units_per_carton],MATCH(BZ71,productData[sku],0)),0),"")</f>
        <v/>
      </c>
      <c r="CI71" s="302" t="str">
        <f>IFERROR(ROUNDUP(CF71/INDEX(productData[units_per_carton],MATCH(BZ71,productData[sku])),0),"")</f>
        <v/>
      </c>
      <c r="CJ71" s="302" t="str">
        <f>IFERROR(((CB71+CD71+CF71)/INDEX(productData[units_per_carton],MATCH(BZ71,productData[sku],0)))*INDEX(productData[net_weight],MATCH(BZ71,productData[sku],0)),"")</f>
        <v/>
      </c>
      <c r="CK71" s="302" t="str">
        <f>IFERROR(((CB71+CD71+CF71)/INDEX(productData[units_per_carton],MATCH(BZ71,productData[sku],0)))*INDEX(productData[gross_weight],MATCH(BZ71,productData[sku],0)),"")</f>
        <v/>
      </c>
      <c r="CL71" s="406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03" t="str">
        <f>IFERROR(INDEX(productData[category],MATCH(BZ71,productData[sku],0)),"")</f>
        <v/>
      </c>
      <c r="CN71" s="303" t="str">
        <f>IFERROR(INDEX(productData[size1],MATCH(BZ71,productData[sku],0)),"")</f>
        <v/>
      </c>
      <c r="CO71" s="304" t="str">
        <f>IFERROR(INDEX(productData[hs_code],MATCH(BZ71,productData[sku],0)),"")</f>
        <v/>
      </c>
      <c r="CP71" s="357" t="str">
        <f>IFERROR(INDEX(productData[sku_geko],MATCH(BZ71,productData[sku],0)),"")</f>
        <v/>
      </c>
      <c r="CQ71" s="300"/>
      <c r="CR71" s="375" t="str">
        <f>IFERROR(IF(BZ71="","",IF($BX$15="SALE",INDEX(inventory[COSTO UNITARIO],MATCH(BZ71,inventory[SKU],0)),IF($BX$15="SAMPLING",INDEX(inventory[COSTO UNITARIO],MATCH(BZ71,inventory[SKU],0)),""))),"")</f>
        <v/>
      </c>
      <c r="CS71" s="375" t="str">
        <f t="shared" si="6"/>
        <v/>
      </c>
      <c r="CT71" s="422" t="str">
        <f t="shared" si="7"/>
        <v/>
      </c>
      <c r="CU71" s="349" t="str">
        <f t="shared" si="3"/>
        <v/>
      </c>
      <c r="DB71" s="246" t="str">
        <f>IFERROR(VLOOKUP(BZ71,productData[],22,FALSE),"")</f>
        <v/>
      </c>
      <c r="EE71" s="329" t="str">
        <f t="array" ref="EE71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/>
      </c>
      <c r="EF71" s="493" t="str">
        <f t="array" ref="EF71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/>
      </c>
      <c r="EG71" s="330" t="str">
        <f>IFERROR(IF('BHPC MANAGER'!$EE71="","",INDEX(inventory[ESISTENZA],MATCH('BHPC MANAGER'!$EE71,inventory[SKU],0))),0)</f>
        <v/>
      </c>
      <c r="EH71" s="331" t="s">
        <v>241</v>
      </c>
      <c r="EI71" s="331" t="str">
        <f t="shared" si="4"/>
        <v/>
      </c>
      <c r="EJ71" s="332" t="s">
        <v>241</v>
      </c>
      <c r="EK71" s="333" t="str">
        <f t="shared" si="5"/>
        <v/>
      </c>
    </row>
    <row r="72" spans="12:141" ht="15" customHeight="1" x14ac:dyDescent="0.35">
      <c r="L72" s="280" t="str">
        <f t="array" ref="L72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2" s="281" t="str">
        <f t="array" ref="M72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2" s="282" t="str">
        <f t="array" ref="N72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2" s="283" t="str">
        <f t="array" ref="O72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2" s="284" t="str">
        <f t="array" ref="P72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2" s="285" t="str">
        <f t="array" ref="Q72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2" s="286" t="str">
        <f t="array" ref="R72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2" s="345" t="str">
        <f t="array" ref="S72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2" s="287" t="str">
        <f t="array" ref="T72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2" s="282" t="str">
        <f t="array" ref="U72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2" s="287" t="str">
        <f t="array" ref="V72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2" s="384" t="str">
        <f t="array" ref="W72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2" s="190"/>
      <c r="BK72" s="261"/>
      <c r="BL72" s="262"/>
      <c r="BM72" s="263"/>
      <c r="BN72" s="262"/>
      <c r="BO72" s="263"/>
      <c r="BZ72" s="310"/>
      <c r="CA72" s="297" t="str">
        <f>IFERROR(IF(BZ72="","",INDEX(productData[description],MATCH(BZ72,productData[sku],0))),"")</f>
        <v/>
      </c>
      <c r="CB72" s="299"/>
      <c r="CC72" s="413"/>
      <c r="CD72" s="307"/>
      <c r="CE72" s="418"/>
      <c r="CF72" s="300"/>
      <c r="CG72" s="301" t="str">
        <f>IFERROR(ROUNDUP(CB72/INDEX(productData[units_per_carton],MATCH(BZ72,productData[sku],0)),0),"")</f>
        <v/>
      </c>
      <c r="CH72" s="302" t="str">
        <f>IFERROR(ROUNDUP(CD72/INDEX(productData[units_per_carton],MATCH(BZ72,productData[sku],0)),0),"")</f>
        <v/>
      </c>
      <c r="CI72" s="302" t="str">
        <f>IFERROR(ROUNDUP(CF72/INDEX(productData[units_per_carton],MATCH(BZ72,productData[sku])),0),"")</f>
        <v/>
      </c>
      <c r="CJ72" s="302" t="str">
        <f>IFERROR(((CB72+CD72+CF72)/INDEX(productData[units_per_carton],MATCH(BZ72,productData[sku],0)))*INDEX(productData[net_weight],MATCH(BZ72,productData[sku],0)),"")</f>
        <v/>
      </c>
      <c r="CK72" s="302" t="str">
        <f>IFERROR(((CB72+CD72+CF72)/INDEX(productData[units_per_carton],MATCH(BZ72,productData[sku],0)))*INDEX(productData[gross_weight],MATCH(BZ72,productData[sku],0)),"")</f>
        <v/>
      </c>
      <c r="CL72" s="406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03" t="str">
        <f>IFERROR(INDEX(productData[category],MATCH(BZ72,productData[sku],0)),"")</f>
        <v/>
      </c>
      <c r="CN72" s="303" t="str">
        <f>IFERROR(INDEX(productData[size1],MATCH(BZ72,productData[sku],0)),"")</f>
        <v/>
      </c>
      <c r="CO72" s="304" t="str">
        <f>IFERROR(INDEX(productData[hs_code],MATCH(BZ72,productData[sku],0)),"")</f>
        <v/>
      </c>
      <c r="CP72" s="357" t="str">
        <f>IFERROR(INDEX(productData[sku_geko],MATCH(BZ72,productData[sku],0)),"")</f>
        <v/>
      </c>
      <c r="CQ72" s="300"/>
      <c r="CR72" s="375" t="str">
        <f>IFERROR(IF(BZ72="","",IF($BX$15="SALE",INDEX(inventory[COSTO UNITARIO],MATCH(BZ72,inventory[SKU],0)),IF($BX$15="SAMPLING",INDEX(inventory[COSTO UNITARIO],MATCH(BZ72,inventory[SKU],0)),""))),"")</f>
        <v/>
      </c>
      <c r="CS72" s="375" t="str">
        <f t="shared" si="6"/>
        <v/>
      </c>
      <c r="CT72" s="422" t="str">
        <f t="shared" si="7"/>
        <v/>
      </c>
      <c r="CU72" s="349" t="str">
        <f t="shared" si="3"/>
        <v/>
      </c>
      <c r="DB72" s="246" t="str">
        <f>IFERROR(VLOOKUP(BZ72,productData[],22,FALSE),"")</f>
        <v/>
      </c>
      <c r="EE72" s="334" t="str">
        <f t="array" ref="EE72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/>
      </c>
      <c r="EF72" s="494" t="str">
        <f t="array" ref="EF72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/>
      </c>
      <c r="EG72" s="335" t="str">
        <f>IFERROR(IF('BHPC MANAGER'!$EE72="","",INDEX(inventory[ESISTENZA],MATCH('BHPC MANAGER'!$EE72,inventory[SKU],0))),0)</f>
        <v/>
      </c>
      <c r="EH72" s="336">
        <v>0</v>
      </c>
      <c r="EI72" s="336" t="str">
        <f t="shared" si="4"/>
        <v/>
      </c>
      <c r="EJ72" s="337">
        <v>0</v>
      </c>
      <c r="EK72" s="338" t="str">
        <f t="shared" si="5"/>
        <v/>
      </c>
    </row>
    <row r="73" spans="12:141" ht="15" customHeight="1" x14ac:dyDescent="0.35">
      <c r="L73" s="280" t="str">
        <f t="array" ref="L73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3" s="281" t="str">
        <f t="array" ref="M73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3" s="282" t="str">
        <f t="array" ref="N73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3" s="283" t="str">
        <f t="array" ref="O73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3" s="284" t="str">
        <f t="array" ref="P73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3" s="285" t="str">
        <f t="array" ref="Q73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3" s="286" t="str">
        <f t="array" ref="R73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3" s="345" t="str">
        <f t="array" ref="S73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3" s="287" t="str">
        <f t="array" ref="T73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3" s="282" t="str">
        <f t="array" ref="U73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3" s="287" t="str">
        <f t="array" ref="V73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3" s="384" t="str">
        <f t="array" ref="W73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3" s="190"/>
      <c r="BK73" s="261"/>
      <c r="BL73" s="262"/>
      <c r="BM73" s="263"/>
      <c r="BN73" s="262"/>
      <c r="BO73" s="263"/>
      <c r="BZ73" s="310"/>
      <c r="CA73" s="297" t="str">
        <f>IFERROR(IF(BZ73="","",INDEX(productData[description],MATCH(BZ73,productData[sku],0))),"")</f>
        <v/>
      </c>
      <c r="CB73" s="299"/>
      <c r="CC73" s="413"/>
      <c r="CD73" s="307"/>
      <c r="CE73" s="418"/>
      <c r="CF73" s="300"/>
      <c r="CG73" s="301" t="str">
        <f>IFERROR(ROUNDUP(CB73/INDEX(productData[units_per_carton],MATCH(BZ73,productData[sku],0)),0),"")</f>
        <v/>
      </c>
      <c r="CH73" s="302" t="str">
        <f>IFERROR(ROUNDUP(CD73/INDEX(productData[units_per_carton],MATCH(BZ73,productData[sku],0)),0),"")</f>
        <v/>
      </c>
      <c r="CI73" s="302" t="str">
        <f>IFERROR(ROUNDUP(CF73/INDEX(productData[units_per_carton],MATCH(BZ73,productData[sku])),0),"")</f>
        <v/>
      </c>
      <c r="CJ73" s="302" t="str">
        <f>IFERROR(((CB73+CD73+CF73)/INDEX(productData[units_per_carton],MATCH(BZ73,productData[sku],0)))*INDEX(productData[net_weight],MATCH(BZ73,productData[sku],0)),"")</f>
        <v/>
      </c>
      <c r="CK73" s="302" t="str">
        <f>IFERROR(((CB73+CD73+CF73)/INDEX(productData[units_per_carton],MATCH(BZ73,productData[sku],0)))*INDEX(productData[gross_weight],MATCH(BZ73,productData[sku],0)),"")</f>
        <v/>
      </c>
      <c r="CL73" s="406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03" t="str">
        <f>IFERROR(INDEX(productData[category],MATCH(BZ73,productData[sku],0)),"")</f>
        <v/>
      </c>
      <c r="CN73" s="303" t="str">
        <f>IFERROR(INDEX(productData[size1],MATCH(BZ73,productData[sku],0)),"")</f>
        <v/>
      </c>
      <c r="CO73" s="304" t="str">
        <f>IFERROR(INDEX(productData[hs_code],MATCH(BZ73,productData[sku],0)),"")</f>
        <v/>
      </c>
      <c r="CP73" s="357" t="str">
        <f>IFERROR(INDEX(productData[sku_geko],MATCH(BZ73,productData[sku],0)),"")</f>
        <v/>
      </c>
      <c r="CQ73" s="300"/>
      <c r="CR73" s="375" t="str">
        <f>IFERROR(IF(BZ73="","",IF($BX$15="SALE",INDEX(inventory[COSTO UNITARIO],MATCH(BZ73,inventory[SKU],0)),IF($BX$15="SAMPLING",INDEX(inventory[COSTO UNITARIO],MATCH(BZ73,inventory[SKU],0)),""))),"")</f>
        <v/>
      </c>
      <c r="CS73" s="375" t="str">
        <f t="shared" ref="CS73:CS110" si="8">IFERROR(IF(BZ73="","",(CB73+CD73)*CR73),"")</f>
        <v/>
      </c>
      <c r="CT73" s="422" t="str">
        <f t="shared" ref="CT73:CT110" si="9">IF(BZ73="","",CB73*CC73+CD73*CE73)</f>
        <v/>
      </c>
      <c r="CU73" s="349" t="str">
        <f t="shared" ref="CU73:CU110" si="10">IF(BZ73="","",IF(OR($BX$15="PRODUCTION",$BX$15="SUPPLY"),"",IF(OR($CY$32=TRUE,$CY$32="GOODS SENT"),"OK",VLOOKUP(BZ73,$EE$6:$EK$400,7,FALSE)+IF(OR($BX$15="SALE",$BX$15="SAMPLING"),-(CB73+CD73+CF73),(CB73+CD73+CF73)))))</f>
        <v/>
      </c>
      <c r="DB73" s="246" t="str">
        <f>IFERROR(VLOOKUP(BZ73,productData[],22,FALSE),"")</f>
        <v/>
      </c>
      <c r="EE73" s="329" t="str">
        <f t="array" ref="EE73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/>
      </c>
      <c r="EF73" s="493" t="str">
        <f t="array" ref="EF73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/>
      </c>
      <c r="EG73" s="330" t="str">
        <f>IFERROR(IF('BHPC MANAGER'!$EE73="","",INDEX(inventory[ESISTENZA],MATCH('BHPC MANAGER'!$EE73,inventory[SKU],0))),0)</f>
        <v/>
      </c>
      <c r="EH73" s="331">
        <v>0</v>
      </c>
      <c r="EI73" s="331" t="str">
        <f t="shared" ref="EI73:EI136" si="11">IF(EE73="","",IFERROR(EG73+EH73,EG73))</f>
        <v/>
      </c>
      <c r="EJ73" s="332">
        <v>0</v>
      </c>
      <c r="EK73" s="333" t="str">
        <f t="shared" ref="EK73:EK136" si="12">IF(EE73="","",IFERROR(EI73+EJ73,EI73))</f>
        <v/>
      </c>
    </row>
    <row r="74" spans="12:141" ht="15" customHeight="1" x14ac:dyDescent="0.35">
      <c r="L74" s="280" t="str">
        <f t="array" ref="L74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4" s="281" t="str">
        <f t="array" ref="M74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4" s="282" t="str">
        <f t="array" ref="N74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4" s="283" t="str">
        <f t="array" ref="O74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4" s="284" t="str">
        <f t="array" ref="P74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4" s="285" t="str">
        <f t="array" ref="Q74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4" s="286" t="str">
        <f t="array" ref="R74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4" s="345" t="str">
        <f t="array" ref="S74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4" s="287" t="str">
        <f t="array" ref="T74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4" s="282" t="str">
        <f t="array" ref="U74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4" s="287" t="str">
        <f t="array" ref="V74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4" s="384" t="str">
        <f t="array" ref="W74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4" s="190"/>
      <c r="BK74" s="261"/>
      <c r="BL74" s="262"/>
      <c r="BM74" s="263"/>
      <c r="BN74" s="262"/>
      <c r="BO74" s="263"/>
      <c r="BZ74" s="310"/>
      <c r="CA74" s="297" t="str">
        <f>IFERROR(IF(BZ74="","",INDEX(productData[description],MATCH(BZ74,productData[sku],0))),"")</f>
        <v/>
      </c>
      <c r="CB74" s="299"/>
      <c r="CC74" s="413"/>
      <c r="CD74" s="307"/>
      <c r="CE74" s="418"/>
      <c r="CF74" s="300"/>
      <c r="CG74" s="301" t="str">
        <f>IFERROR(ROUNDUP(CB74/INDEX(productData[units_per_carton],MATCH(BZ74,productData[sku],0)),0),"")</f>
        <v/>
      </c>
      <c r="CH74" s="302" t="str">
        <f>IFERROR(ROUNDUP(CD74/INDEX(productData[units_per_carton],MATCH(BZ74,productData[sku],0)),0),"")</f>
        <v/>
      </c>
      <c r="CI74" s="302" t="str">
        <f>IFERROR(ROUNDUP(CF74/INDEX(productData[units_per_carton],MATCH(BZ74,productData[sku])),0),"")</f>
        <v/>
      </c>
      <c r="CJ74" s="302" t="str">
        <f>IFERROR(((CB74+CD74+CF74)/INDEX(productData[units_per_carton],MATCH(BZ74,productData[sku],0)))*INDEX(productData[net_weight],MATCH(BZ74,productData[sku],0)),"")</f>
        <v/>
      </c>
      <c r="CK74" s="302" t="str">
        <f>IFERROR(((CB74+CD74+CF74)/INDEX(productData[units_per_carton],MATCH(BZ74,productData[sku],0)))*INDEX(productData[gross_weight],MATCH(BZ74,productData[sku],0)),"")</f>
        <v/>
      </c>
      <c r="CL74" s="406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03" t="str">
        <f>IFERROR(INDEX(productData[category],MATCH(BZ74,productData[sku],0)),"")</f>
        <v/>
      </c>
      <c r="CN74" s="303" t="str">
        <f>IFERROR(INDEX(productData[size1],MATCH(BZ74,productData[sku],0)),"")</f>
        <v/>
      </c>
      <c r="CO74" s="304" t="str">
        <f>IFERROR(INDEX(productData[hs_code],MATCH(BZ74,productData[sku],0)),"")</f>
        <v/>
      </c>
      <c r="CP74" s="357" t="str">
        <f>IFERROR(INDEX(productData[sku_geko],MATCH(BZ74,productData[sku],0)),"")</f>
        <v/>
      </c>
      <c r="CQ74" s="300"/>
      <c r="CR74" s="375" t="str">
        <f>IFERROR(IF(BZ74="","",IF($BX$15="SALE",INDEX(inventory[COSTO UNITARIO],MATCH(BZ74,inventory[SKU],0)),IF($BX$15="SAMPLING",INDEX(inventory[COSTO UNITARIO],MATCH(BZ74,inventory[SKU],0)),""))),"")</f>
        <v/>
      </c>
      <c r="CS74" s="375" t="str">
        <f t="shared" si="8"/>
        <v/>
      </c>
      <c r="CT74" s="422" t="str">
        <f t="shared" si="9"/>
        <v/>
      </c>
      <c r="CU74" s="349" t="str">
        <f t="shared" si="10"/>
        <v/>
      </c>
      <c r="DB74" s="246" t="str">
        <f>IFERROR(VLOOKUP(BZ74,productData[],22,FALSE),"")</f>
        <v/>
      </c>
      <c r="EE74" s="334" t="str">
        <f t="array" ref="EE74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/>
      </c>
      <c r="EF74" s="494" t="str">
        <f t="array" ref="EF74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/>
      </c>
      <c r="EG74" s="335" t="str">
        <f>IFERROR(IF('BHPC MANAGER'!$EE74="","",INDEX(inventory[ESISTENZA],MATCH('BHPC MANAGER'!$EE74,inventory[SKU],0))),0)</f>
        <v/>
      </c>
      <c r="EH74" s="336" t="s">
        <v>241</v>
      </c>
      <c r="EI74" s="336" t="str">
        <f t="shared" si="11"/>
        <v/>
      </c>
      <c r="EJ74" s="337" t="s">
        <v>241</v>
      </c>
      <c r="EK74" s="338" t="str">
        <f t="shared" si="12"/>
        <v/>
      </c>
    </row>
    <row r="75" spans="12:141" ht="15" customHeight="1" x14ac:dyDescent="0.35">
      <c r="L75" s="280" t="str">
        <f t="array" ref="L75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5" s="281" t="str">
        <f t="array" ref="M75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5" s="282" t="str">
        <f t="array" ref="N75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5" s="283" t="str">
        <f t="array" ref="O75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5" s="284" t="str">
        <f t="array" ref="P75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5" s="285" t="str">
        <f t="array" ref="Q75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5" s="286" t="str">
        <f t="array" ref="R75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5" s="345" t="str">
        <f t="array" ref="S75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5" s="287" t="str">
        <f t="array" ref="T75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5" s="282" t="str">
        <f t="array" ref="U75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5" s="287" t="str">
        <f t="array" ref="V75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5" s="384" t="str">
        <f t="array" ref="W75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5" s="190"/>
      <c r="BK75" s="261"/>
      <c r="BL75" s="262"/>
      <c r="BM75" s="263"/>
      <c r="BN75" s="262"/>
      <c r="BO75" s="263"/>
      <c r="BZ75" s="310"/>
      <c r="CA75" s="297" t="str">
        <f>IFERROR(IF(BZ75="","",INDEX(productData[description],MATCH(BZ75,productData[sku],0))),"")</f>
        <v/>
      </c>
      <c r="CB75" s="299"/>
      <c r="CC75" s="413"/>
      <c r="CD75" s="307"/>
      <c r="CE75" s="418"/>
      <c r="CF75" s="300"/>
      <c r="CG75" s="301" t="str">
        <f>IFERROR(ROUNDUP(CB75/INDEX(productData[units_per_carton],MATCH(BZ75,productData[sku],0)),0),"")</f>
        <v/>
      </c>
      <c r="CH75" s="302" t="str">
        <f>IFERROR(ROUNDUP(CD75/INDEX(productData[units_per_carton],MATCH(BZ75,productData[sku],0)),0),"")</f>
        <v/>
      </c>
      <c r="CI75" s="302" t="str">
        <f>IFERROR(ROUNDUP(CF75/INDEX(productData[units_per_carton],MATCH(BZ75,productData[sku])),0),"")</f>
        <v/>
      </c>
      <c r="CJ75" s="302" t="str">
        <f>IFERROR(((CB75+CD75+CF75)/INDEX(productData[units_per_carton],MATCH(BZ75,productData[sku],0)))*INDEX(productData[net_weight],MATCH(BZ75,productData[sku],0)),"")</f>
        <v/>
      </c>
      <c r="CK75" s="302" t="str">
        <f>IFERROR(((CB75+CD75+CF75)/INDEX(productData[units_per_carton],MATCH(BZ75,productData[sku],0)))*INDEX(productData[gross_weight],MATCH(BZ75,productData[sku],0)),"")</f>
        <v/>
      </c>
      <c r="CL75" s="406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03" t="str">
        <f>IFERROR(INDEX(productData[category],MATCH(BZ75,productData[sku],0)),"")</f>
        <v/>
      </c>
      <c r="CN75" s="303" t="str">
        <f>IFERROR(INDEX(productData[size1],MATCH(BZ75,productData[sku],0)),"")</f>
        <v/>
      </c>
      <c r="CO75" s="304" t="str">
        <f>IFERROR(INDEX(productData[hs_code],MATCH(BZ75,productData[sku],0)),"")</f>
        <v/>
      </c>
      <c r="CP75" s="357" t="str">
        <f>IFERROR(INDEX(productData[sku_geko],MATCH(BZ75,productData[sku],0)),"")</f>
        <v/>
      </c>
      <c r="CQ75" s="300"/>
      <c r="CR75" s="375" t="str">
        <f>IFERROR(IF(BZ75="","",IF($BX$15="SALE",INDEX(inventory[COSTO UNITARIO],MATCH(BZ75,inventory[SKU],0)),IF($BX$15="SAMPLING",INDEX(inventory[COSTO UNITARIO],MATCH(BZ75,inventory[SKU],0)),""))),"")</f>
        <v/>
      </c>
      <c r="CS75" s="375" t="str">
        <f t="shared" si="8"/>
        <v/>
      </c>
      <c r="CT75" s="422" t="str">
        <f t="shared" si="9"/>
        <v/>
      </c>
      <c r="CU75" s="349" t="str">
        <f t="shared" si="10"/>
        <v/>
      </c>
      <c r="DB75" s="246" t="str">
        <f>IFERROR(VLOOKUP(BZ75,productData[],22,FALSE),"")</f>
        <v/>
      </c>
      <c r="EE75" s="329" t="str">
        <f t="array" ref="EE75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/>
      </c>
      <c r="EF75" s="493" t="str">
        <f t="array" ref="EF75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/>
      </c>
      <c r="EG75" s="330" t="str">
        <f>IFERROR(IF('BHPC MANAGER'!$EE75="","",INDEX(inventory[ESISTENZA],MATCH('BHPC MANAGER'!$EE75,inventory[SKU],0))),0)</f>
        <v/>
      </c>
      <c r="EH75" s="331" t="s">
        <v>241</v>
      </c>
      <c r="EI75" s="331" t="str">
        <f t="shared" si="11"/>
        <v/>
      </c>
      <c r="EJ75" s="332" t="s">
        <v>241</v>
      </c>
      <c r="EK75" s="333" t="str">
        <f t="shared" si="12"/>
        <v/>
      </c>
    </row>
    <row r="76" spans="12:141" ht="15" customHeight="1" x14ac:dyDescent="0.35">
      <c r="L76" s="280" t="str">
        <f t="array" ref="L76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6" s="281" t="str">
        <f t="array" ref="M76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6" s="282" t="str">
        <f t="array" ref="N76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6" s="283" t="str">
        <f t="array" ref="O76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6" s="284" t="str">
        <f t="array" ref="P76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6" s="285" t="str">
        <f t="array" ref="Q76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6" s="286" t="str">
        <f t="array" ref="R76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6" s="345" t="str">
        <f t="array" ref="S76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6" s="287" t="str">
        <f t="array" ref="T76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6" s="282" t="str">
        <f t="array" ref="U76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6" s="287" t="str">
        <f t="array" ref="V76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6" s="384" t="str">
        <f t="array" ref="W76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6" s="190"/>
      <c r="BK76" s="261"/>
      <c r="BL76" s="262"/>
      <c r="BM76" s="263"/>
      <c r="BN76" s="262"/>
      <c r="BO76" s="263"/>
      <c r="BZ76" s="310"/>
      <c r="CA76" s="297" t="str">
        <f>IFERROR(IF(BZ76="","",INDEX(productData[description],MATCH(BZ76,productData[sku],0))),"")</f>
        <v/>
      </c>
      <c r="CB76" s="299"/>
      <c r="CC76" s="413"/>
      <c r="CD76" s="307"/>
      <c r="CE76" s="418"/>
      <c r="CF76" s="300"/>
      <c r="CG76" s="301" t="str">
        <f>IFERROR(ROUNDUP(CB76/INDEX(productData[units_per_carton],MATCH(BZ76,productData[sku],0)),0),"")</f>
        <v/>
      </c>
      <c r="CH76" s="302" t="str">
        <f>IFERROR(ROUNDUP(CD76/INDEX(productData[units_per_carton],MATCH(BZ76,productData[sku],0)),0),"")</f>
        <v/>
      </c>
      <c r="CI76" s="302" t="str">
        <f>IFERROR(ROUNDUP(CF76/INDEX(productData[units_per_carton],MATCH(BZ76,productData[sku])),0),"")</f>
        <v/>
      </c>
      <c r="CJ76" s="302" t="str">
        <f>IFERROR(((CB76+CD76+CF76)/INDEX(productData[units_per_carton],MATCH(BZ76,productData[sku],0)))*INDEX(productData[net_weight],MATCH(BZ76,productData[sku],0)),"")</f>
        <v/>
      </c>
      <c r="CK76" s="302" t="str">
        <f>IFERROR(((CB76+CD76+CF76)/INDEX(productData[units_per_carton],MATCH(BZ76,productData[sku],0)))*INDEX(productData[gross_weight],MATCH(BZ76,productData[sku],0)),"")</f>
        <v/>
      </c>
      <c r="CL76" s="406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03" t="str">
        <f>IFERROR(INDEX(productData[category],MATCH(BZ76,productData[sku],0)),"")</f>
        <v/>
      </c>
      <c r="CN76" s="303" t="str">
        <f>IFERROR(INDEX(productData[size1],MATCH(BZ76,productData[sku],0)),"")</f>
        <v/>
      </c>
      <c r="CO76" s="304" t="str">
        <f>IFERROR(INDEX(productData[hs_code],MATCH(BZ76,productData[sku],0)),"")</f>
        <v/>
      </c>
      <c r="CP76" s="357" t="str">
        <f>IFERROR(INDEX(productData[sku_geko],MATCH(BZ76,productData[sku],0)),"")</f>
        <v/>
      </c>
      <c r="CQ76" s="300"/>
      <c r="CR76" s="375" t="str">
        <f>IFERROR(IF(BZ76="","",IF($BX$15="SALE",INDEX(inventory[COSTO UNITARIO],MATCH(BZ76,inventory[SKU],0)),IF($BX$15="SAMPLING",INDEX(inventory[COSTO UNITARIO],MATCH(BZ76,inventory[SKU],0)),""))),"")</f>
        <v/>
      </c>
      <c r="CS76" s="375" t="str">
        <f t="shared" si="8"/>
        <v/>
      </c>
      <c r="CT76" s="422" t="str">
        <f t="shared" si="9"/>
        <v/>
      </c>
      <c r="CU76" s="349" t="str">
        <f t="shared" si="10"/>
        <v/>
      </c>
      <c r="DB76" s="246" t="str">
        <f>IFERROR(VLOOKUP(BZ76,productData[],22,FALSE),"")</f>
        <v/>
      </c>
      <c r="EE76" s="334" t="str">
        <f t="array" ref="EE76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/>
      </c>
      <c r="EF76" s="494" t="str">
        <f t="array" ref="EF76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/>
      </c>
      <c r="EG76" s="335" t="str">
        <f>IFERROR(IF('BHPC MANAGER'!$EE76="","",INDEX(inventory[ESISTENZA],MATCH('BHPC MANAGER'!$EE76,inventory[SKU],0))),0)</f>
        <v/>
      </c>
      <c r="EH76" s="336">
        <v>0</v>
      </c>
      <c r="EI76" s="336" t="str">
        <f t="shared" si="11"/>
        <v/>
      </c>
      <c r="EJ76" s="337">
        <v>0</v>
      </c>
      <c r="EK76" s="338" t="str">
        <f t="shared" si="12"/>
        <v/>
      </c>
    </row>
    <row r="77" spans="12:141" ht="15" customHeight="1" x14ac:dyDescent="0.35">
      <c r="L77" s="280" t="str">
        <f t="array" ref="L77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7" s="281" t="str">
        <f t="array" ref="M77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7" s="282" t="str">
        <f t="array" ref="N77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7" s="283" t="str">
        <f t="array" ref="O77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7" s="284" t="str">
        <f t="array" ref="P77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7" s="285" t="str">
        <f t="array" ref="Q77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7" s="286" t="str">
        <f t="array" ref="R77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7" s="345" t="str">
        <f t="array" ref="S77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7" s="287" t="str">
        <f t="array" ref="T77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7" s="282" t="str">
        <f t="array" ref="U77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7" s="287" t="str">
        <f t="array" ref="V77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7" s="384" t="str">
        <f t="array" ref="W77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7" s="190"/>
      <c r="BK77" s="261"/>
      <c r="BL77" s="262"/>
      <c r="BM77" s="263"/>
      <c r="BN77" s="262"/>
      <c r="BO77" s="263"/>
      <c r="BZ77" s="310"/>
      <c r="CA77" s="297" t="str">
        <f>IFERROR(IF(BZ77="","",INDEX(productData[description],MATCH(BZ77,productData[sku],0))),"")</f>
        <v/>
      </c>
      <c r="CB77" s="299"/>
      <c r="CC77" s="413"/>
      <c r="CD77" s="307"/>
      <c r="CE77" s="418"/>
      <c r="CF77" s="300"/>
      <c r="CG77" s="301" t="str">
        <f>IFERROR(ROUNDUP(CB77/INDEX(productData[units_per_carton],MATCH(BZ77,productData[sku],0)),0),"")</f>
        <v/>
      </c>
      <c r="CH77" s="302" t="str">
        <f>IFERROR(ROUNDUP(CD77/INDEX(productData[units_per_carton],MATCH(BZ77,productData[sku],0)),0),"")</f>
        <v/>
      </c>
      <c r="CI77" s="302" t="str">
        <f>IFERROR(ROUNDUP(CF77/INDEX(productData[units_per_carton],MATCH(BZ77,productData[sku])),0),"")</f>
        <v/>
      </c>
      <c r="CJ77" s="302" t="str">
        <f>IFERROR(((CB77+CD77+CF77)/INDEX(productData[units_per_carton],MATCH(BZ77,productData[sku],0)))*INDEX(productData[net_weight],MATCH(BZ77,productData[sku],0)),"")</f>
        <v/>
      </c>
      <c r="CK77" s="302" t="str">
        <f>IFERROR(((CB77+CD77+CF77)/INDEX(productData[units_per_carton],MATCH(BZ77,productData[sku],0)))*INDEX(productData[gross_weight],MATCH(BZ77,productData[sku],0)),"")</f>
        <v/>
      </c>
      <c r="CL77" s="406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03" t="str">
        <f>IFERROR(INDEX(productData[category],MATCH(BZ77,productData[sku],0)),"")</f>
        <v/>
      </c>
      <c r="CN77" s="303" t="str">
        <f>IFERROR(INDEX(productData[size1],MATCH(BZ77,productData[sku],0)),"")</f>
        <v/>
      </c>
      <c r="CO77" s="304" t="str">
        <f>IFERROR(INDEX(productData[hs_code],MATCH(BZ77,productData[sku],0)),"")</f>
        <v/>
      </c>
      <c r="CP77" s="357" t="str">
        <f>IFERROR(INDEX(productData[sku_geko],MATCH(BZ77,productData[sku],0)),"")</f>
        <v/>
      </c>
      <c r="CQ77" s="300"/>
      <c r="CR77" s="375" t="str">
        <f>IFERROR(IF(BZ77="","",IF($BX$15="SALE",INDEX(inventory[COSTO UNITARIO],MATCH(BZ77,inventory[SKU],0)),IF($BX$15="SAMPLING",INDEX(inventory[COSTO UNITARIO],MATCH(BZ77,inventory[SKU],0)),""))),"")</f>
        <v/>
      </c>
      <c r="CS77" s="375" t="str">
        <f t="shared" si="8"/>
        <v/>
      </c>
      <c r="CT77" s="422" t="str">
        <f t="shared" si="9"/>
        <v/>
      </c>
      <c r="CU77" s="349" t="str">
        <f t="shared" si="10"/>
        <v/>
      </c>
      <c r="DB77" s="246" t="str">
        <f>IFERROR(VLOOKUP(BZ77,productData[],22,FALSE),"")</f>
        <v/>
      </c>
      <c r="EE77" s="329" t="str">
        <f t="array" ref="EE77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/>
      </c>
      <c r="EF77" s="493" t="str">
        <f t="array" ref="EF77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/>
      </c>
      <c r="EG77" s="330" t="str">
        <f>IFERROR(IF('BHPC MANAGER'!$EE77="","",INDEX(inventory[ESISTENZA],MATCH('BHPC MANAGER'!$EE77,inventory[SKU],0))),0)</f>
        <v/>
      </c>
      <c r="EH77" s="331">
        <v>0</v>
      </c>
      <c r="EI77" s="331" t="str">
        <f t="shared" si="11"/>
        <v/>
      </c>
      <c r="EJ77" s="332">
        <v>0</v>
      </c>
      <c r="EK77" s="333" t="str">
        <f t="shared" si="12"/>
        <v/>
      </c>
    </row>
    <row r="78" spans="12:141" ht="15" customHeight="1" x14ac:dyDescent="0.35">
      <c r="L78" s="280" t="str">
        <f t="array" ref="L78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78" s="281" t="str">
        <f t="array" ref="M78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78" s="282" t="str">
        <f t="array" ref="N78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78" s="283" t="str">
        <f t="array" ref="O78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78" s="284" t="str">
        <f t="array" ref="P78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78" s="285" t="str">
        <f t="array" ref="Q78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78" s="286" t="str">
        <f t="array" ref="R78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78" s="345" t="str">
        <f t="array" ref="S78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78" s="287" t="str">
        <f t="array" ref="T78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78" s="282" t="str">
        <f t="array" ref="U78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78" s="287" t="str">
        <f t="array" ref="V78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78" s="384" t="str">
        <f t="array" ref="W78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78" s="190"/>
      <c r="BK78" s="261"/>
      <c r="BL78" s="262"/>
      <c r="BM78" s="263"/>
      <c r="BN78" s="262"/>
      <c r="BO78" s="263"/>
      <c r="BZ78" s="310"/>
      <c r="CA78" s="297" t="str">
        <f>IFERROR(IF(BZ78="","",INDEX(productData[description],MATCH(BZ78,productData[sku],0))),"")</f>
        <v/>
      </c>
      <c r="CB78" s="299"/>
      <c r="CC78" s="413"/>
      <c r="CD78" s="307"/>
      <c r="CE78" s="418"/>
      <c r="CF78" s="300"/>
      <c r="CG78" s="301" t="str">
        <f>IFERROR(ROUNDUP(CB78/INDEX(productData[units_per_carton],MATCH(BZ78,productData[sku],0)),0),"")</f>
        <v/>
      </c>
      <c r="CH78" s="302" t="str">
        <f>IFERROR(ROUNDUP(CD78/INDEX(productData[units_per_carton],MATCH(BZ78,productData[sku],0)),0),"")</f>
        <v/>
      </c>
      <c r="CI78" s="302" t="str">
        <f>IFERROR(ROUNDUP(CF78/INDEX(productData[units_per_carton],MATCH(BZ78,productData[sku])),0),"")</f>
        <v/>
      </c>
      <c r="CJ78" s="302" t="str">
        <f>IFERROR(((CB78+CD78+CF78)/INDEX(productData[units_per_carton],MATCH(BZ78,productData[sku],0)))*INDEX(productData[net_weight],MATCH(BZ78,productData[sku],0)),"")</f>
        <v/>
      </c>
      <c r="CK78" s="302" t="str">
        <f>IFERROR(((CB78+CD78+CF78)/INDEX(productData[units_per_carton],MATCH(BZ78,productData[sku],0)))*INDEX(productData[gross_weight],MATCH(BZ78,productData[sku],0)),"")</f>
        <v/>
      </c>
      <c r="CL78" s="406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03" t="str">
        <f>IFERROR(INDEX(productData[category],MATCH(BZ78,productData[sku],0)),"")</f>
        <v/>
      </c>
      <c r="CN78" s="303" t="str">
        <f>IFERROR(INDEX(productData[size1],MATCH(BZ78,productData[sku],0)),"")</f>
        <v/>
      </c>
      <c r="CO78" s="304" t="str">
        <f>IFERROR(INDEX(productData[hs_code],MATCH(BZ78,productData[sku],0)),"")</f>
        <v/>
      </c>
      <c r="CP78" s="357" t="str">
        <f>IFERROR(INDEX(productData[sku_geko],MATCH(BZ78,productData[sku],0)),"")</f>
        <v/>
      </c>
      <c r="CQ78" s="300"/>
      <c r="CR78" s="375" t="str">
        <f>IFERROR(IF(BZ78="","",IF($BX$15="SALE",INDEX(inventory[COSTO UNITARIO],MATCH(BZ78,inventory[SKU],0)),IF($BX$15="SAMPLING",INDEX(inventory[COSTO UNITARIO],MATCH(BZ78,inventory[SKU],0)),""))),"")</f>
        <v/>
      </c>
      <c r="CS78" s="375" t="str">
        <f t="shared" si="8"/>
        <v/>
      </c>
      <c r="CT78" s="422" t="str">
        <f t="shared" si="9"/>
        <v/>
      </c>
      <c r="CU78" s="349" t="str">
        <f t="shared" si="10"/>
        <v/>
      </c>
      <c r="DB78" s="246" t="str">
        <f>IFERROR(VLOOKUP(BZ78,productData[],22,FALSE),"")</f>
        <v/>
      </c>
      <c r="EE78" s="334" t="str">
        <f t="array" ref="EE78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/>
      </c>
      <c r="EF78" s="494" t="str">
        <f t="array" ref="EF78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/>
      </c>
      <c r="EG78" s="335" t="str">
        <f>IFERROR(IF('BHPC MANAGER'!$EE78="","",INDEX(inventory[ESISTENZA],MATCH('BHPC MANAGER'!$EE78,inventory[SKU],0))),0)</f>
        <v/>
      </c>
      <c r="EH78" s="336" t="s">
        <v>241</v>
      </c>
      <c r="EI78" s="336" t="str">
        <f t="shared" si="11"/>
        <v/>
      </c>
      <c r="EJ78" s="337" t="s">
        <v>241</v>
      </c>
      <c r="EK78" s="338" t="str">
        <f t="shared" si="12"/>
        <v/>
      </c>
    </row>
    <row r="79" spans="12:141" ht="15" customHeight="1" x14ac:dyDescent="0.35">
      <c r="L79" s="280" t="str">
        <f t="array" ref="L79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79" s="281" t="str">
        <f t="array" ref="M79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79" s="282" t="str">
        <f t="array" ref="N79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79" s="283" t="str">
        <f t="array" ref="O79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79" s="284" t="str">
        <f t="array" ref="P79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79" s="285" t="str">
        <f t="array" ref="Q79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79" s="286" t="str">
        <f t="array" ref="R79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79" s="345" t="str">
        <f t="array" ref="S79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79" s="287" t="str">
        <f t="array" ref="T79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79" s="282" t="str">
        <f t="array" ref="U79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79" s="287" t="str">
        <f t="array" ref="V79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79" s="384" t="str">
        <f t="array" ref="W79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79" s="190"/>
      <c r="BK79" s="261"/>
      <c r="BL79" s="262"/>
      <c r="BM79" s="263"/>
      <c r="BN79" s="262"/>
      <c r="BO79" s="263"/>
      <c r="BZ79" s="310"/>
      <c r="CA79" s="297" t="str">
        <f>IFERROR(IF(BZ79="","",INDEX(productData[description],MATCH(BZ79,productData[sku],0))),"")</f>
        <v/>
      </c>
      <c r="CB79" s="299"/>
      <c r="CC79" s="413"/>
      <c r="CD79" s="307"/>
      <c r="CE79" s="418"/>
      <c r="CF79" s="300"/>
      <c r="CG79" s="301" t="str">
        <f>IFERROR(ROUNDUP(CB79/INDEX(productData[units_per_carton],MATCH(BZ79,productData[sku],0)),0),"")</f>
        <v/>
      </c>
      <c r="CH79" s="302" t="str">
        <f>IFERROR(ROUNDUP(CD79/INDEX(productData[units_per_carton],MATCH(BZ79,productData[sku],0)),0),"")</f>
        <v/>
      </c>
      <c r="CI79" s="302" t="str">
        <f>IFERROR(ROUNDUP(CF79/INDEX(productData[units_per_carton],MATCH(BZ79,productData[sku])),0),"")</f>
        <v/>
      </c>
      <c r="CJ79" s="302" t="str">
        <f>IFERROR(((CB79+CD79+CF79)/INDEX(productData[units_per_carton],MATCH(BZ79,productData[sku],0)))*INDEX(productData[net_weight],MATCH(BZ79,productData[sku],0)),"")</f>
        <v/>
      </c>
      <c r="CK79" s="302" t="str">
        <f>IFERROR(((CB79+CD79+CF79)/INDEX(productData[units_per_carton],MATCH(BZ79,productData[sku],0)))*INDEX(productData[gross_weight],MATCH(BZ79,productData[sku],0)),"")</f>
        <v/>
      </c>
      <c r="CL79" s="406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03" t="str">
        <f>IFERROR(INDEX(productData[category],MATCH(BZ79,productData[sku],0)),"")</f>
        <v/>
      </c>
      <c r="CN79" s="303" t="str">
        <f>IFERROR(INDEX(productData[size1],MATCH(BZ79,productData[sku],0)),"")</f>
        <v/>
      </c>
      <c r="CO79" s="304" t="str">
        <f>IFERROR(INDEX(productData[hs_code],MATCH(BZ79,productData[sku],0)),"")</f>
        <v/>
      </c>
      <c r="CP79" s="357" t="str">
        <f>IFERROR(INDEX(productData[sku_geko],MATCH(BZ79,productData[sku],0)),"")</f>
        <v/>
      </c>
      <c r="CQ79" s="300"/>
      <c r="CR79" s="375" t="str">
        <f>IFERROR(IF(BZ79="","",IF($BX$15="SALE",INDEX(inventory[COSTO UNITARIO],MATCH(BZ79,inventory[SKU],0)),IF($BX$15="SAMPLING",INDEX(inventory[COSTO UNITARIO],MATCH(BZ79,inventory[SKU],0)),""))),"")</f>
        <v/>
      </c>
      <c r="CS79" s="375" t="str">
        <f t="shared" si="8"/>
        <v/>
      </c>
      <c r="CT79" s="422" t="str">
        <f t="shared" si="9"/>
        <v/>
      </c>
      <c r="CU79" s="349" t="str">
        <f t="shared" si="10"/>
        <v/>
      </c>
      <c r="DB79" s="246" t="str">
        <f>IFERROR(VLOOKUP(BZ79,productData[],22,FALSE),"")</f>
        <v/>
      </c>
      <c r="EE79" s="329" t="str">
        <f t="array" ref="EE79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/>
      </c>
      <c r="EF79" s="493" t="str">
        <f t="array" ref="EF79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/>
      </c>
      <c r="EG79" s="330" t="str">
        <f>IFERROR(IF('BHPC MANAGER'!$EE79="","",INDEX(inventory[ESISTENZA],MATCH('BHPC MANAGER'!$EE79,inventory[SKU],0))),0)</f>
        <v/>
      </c>
      <c r="EH79" s="331" t="s">
        <v>241</v>
      </c>
      <c r="EI79" s="331" t="str">
        <f t="shared" si="11"/>
        <v/>
      </c>
      <c r="EJ79" s="332" t="s">
        <v>241</v>
      </c>
      <c r="EK79" s="333" t="str">
        <f t="shared" si="12"/>
        <v/>
      </c>
    </row>
    <row r="80" spans="12:141" ht="15" customHeight="1" x14ac:dyDescent="0.35">
      <c r="L80" s="280" t="str">
        <f t="array" ref="L80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0" s="281" t="str">
        <f t="array" ref="M80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0" s="282" t="str">
        <f t="array" ref="N80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0" s="283" t="str">
        <f t="array" ref="O80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0" s="284" t="str">
        <f t="array" ref="P80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0" s="285" t="str">
        <f t="array" ref="Q80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0" s="286" t="str">
        <f t="array" ref="R80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0" s="345" t="str">
        <f t="array" ref="S80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0" s="287" t="str">
        <f t="array" ref="T80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0" s="282" t="str">
        <f t="array" ref="U80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0" s="287" t="str">
        <f t="array" ref="V80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0" s="384" t="str">
        <f t="array" ref="W80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0" s="190"/>
      <c r="BK80" s="261"/>
      <c r="BL80" s="262"/>
      <c r="BM80" s="263"/>
      <c r="BN80" s="262"/>
      <c r="BO80" s="263"/>
      <c r="BZ80" s="310"/>
      <c r="CA80" s="297" t="str">
        <f>IFERROR(IF(BZ80="","",INDEX(productData[description],MATCH(BZ80,productData[sku],0))),"")</f>
        <v/>
      </c>
      <c r="CB80" s="299"/>
      <c r="CC80" s="413"/>
      <c r="CD80" s="307"/>
      <c r="CE80" s="418"/>
      <c r="CF80" s="300"/>
      <c r="CG80" s="301" t="str">
        <f>IFERROR(ROUNDUP(CB80/INDEX(productData[units_per_carton],MATCH(BZ80,productData[sku],0)),0),"")</f>
        <v/>
      </c>
      <c r="CH80" s="302" t="str">
        <f>IFERROR(ROUNDUP(CD80/INDEX(productData[units_per_carton],MATCH(BZ80,productData[sku],0)),0),"")</f>
        <v/>
      </c>
      <c r="CI80" s="302" t="str">
        <f>IFERROR(ROUNDUP(CF80/INDEX(productData[units_per_carton],MATCH(BZ80,productData[sku])),0),"")</f>
        <v/>
      </c>
      <c r="CJ80" s="302" t="str">
        <f>IFERROR(((CB80+CD80+CF80)/INDEX(productData[units_per_carton],MATCH(BZ80,productData[sku],0)))*INDEX(productData[net_weight],MATCH(BZ80,productData[sku],0)),"")</f>
        <v/>
      </c>
      <c r="CK80" s="302" t="str">
        <f>IFERROR(((CB80+CD80+CF80)/INDEX(productData[units_per_carton],MATCH(BZ80,productData[sku],0)))*INDEX(productData[gross_weight],MATCH(BZ80,productData[sku],0)),"")</f>
        <v/>
      </c>
      <c r="CL80" s="406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03" t="str">
        <f>IFERROR(INDEX(productData[category],MATCH(BZ80,productData[sku],0)),"")</f>
        <v/>
      </c>
      <c r="CN80" s="303" t="str">
        <f>IFERROR(INDEX(productData[size1],MATCH(BZ80,productData[sku],0)),"")</f>
        <v/>
      </c>
      <c r="CO80" s="304" t="str">
        <f>IFERROR(INDEX(productData[hs_code],MATCH(BZ80,productData[sku],0)),"")</f>
        <v/>
      </c>
      <c r="CP80" s="357" t="str">
        <f>IFERROR(INDEX(productData[sku_geko],MATCH(BZ80,productData[sku],0)),"")</f>
        <v/>
      </c>
      <c r="CQ80" s="300"/>
      <c r="CR80" s="375" t="str">
        <f>IFERROR(IF(BZ80="","",IF($BX$15="SALE",INDEX(inventory[COSTO UNITARIO],MATCH(BZ80,inventory[SKU],0)),IF($BX$15="SAMPLING",INDEX(inventory[COSTO UNITARIO],MATCH(BZ80,inventory[SKU],0)),""))),"")</f>
        <v/>
      </c>
      <c r="CS80" s="375" t="str">
        <f t="shared" si="8"/>
        <v/>
      </c>
      <c r="CT80" s="422" t="str">
        <f t="shared" si="9"/>
        <v/>
      </c>
      <c r="CU80" s="349" t="str">
        <f t="shared" si="10"/>
        <v/>
      </c>
      <c r="DB80" s="246" t="str">
        <f>IFERROR(VLOOKUP(BZ80,productData[],22,FALSE),"")</f>
        <v/>
      </c>
      <c r="EE80" s="334" t="str">
        <f t="array" ref="EE80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/>
      </c>
      <c r="EF80" s="494" t="str">
        <f t="array" ref="EF80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/>
      </c>
      <c r="EG80" s="335" t="str">
        <f>IFERROR(IF('BHPC MANAGER'!$EE80="","",INDEX(inventory[ESISTENZA],MATCH('BHPC MANAGER'!$EE80,inventory[SKU],0))),0)</f>
        <v/>
      </c>
      <c r="EH80" s="336" t="s">
        <v>241</v>
      </c>
      <c r="EI80" s="336" t="str">
        <f t="shared" si="11"/>
        <v/>
      </c>
      <c r="EJ80" s="337" t="s">
        <v>241</v>
      </c>
      <c r="EK80" s="338" t="str">
        <f t="shared" si="12"/>
        <v/>
      </c>
    </row>
    <row r="81" spans="12:141" ht="15" customHeight="1" x14ac:dyDescent="0.35">
      <c r="L81" s="280" t="str">
        <f t="array" ref="L81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1" s="281" t="str">
        <f t="array" ref="M81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1" s="282" t="str">
        <f t="array" ref="N81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1" s="283" t="str">
        <f t="array" ref="O81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1" s="284" t="str">
        <f t="array" ref="P81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1" s="285" t="str">
        <f t="array" ref="Q81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1" s="286" t="str">
        <f t="array" ref="R81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1" s="345" t="str">
        <f t="array" ref="S81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1" s="287" t="str">
        <f t="array" ref="T81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1" s="282" t="str">
        <f t="array" ref="U81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1" s="287" t="str">
        <f t="array" ref="V81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1" s="384" t="str">
        <f t="array" ref="W81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1" s="190"/>
      <c r="BK81" s="261"/>
      <c r="BL81" s="262"/>
      <c r="BM81" s="263"/>
      <c r="BN81" s="262"/>
      <c r="BO81" s="263"/>
      <c r="BZ81" s="310"/>
      <c r="CA81" s="297" t="str">
        <f>IFERROR(IF(BZ81="","",INDEX(productData[description],MATCH(BZ81,productData[sku],0))),"")</f>
        <v/>
      </c>
      <c r="CB81" s="299"/>
      <c r="CC81" s="413"/>
      <c r="CD81" s="307"/>
      <c r="CE81" s="418"/>
      <c r="CF81" s="300"/>
      <c r="CG81" s="301" t="str">
        <f>IFERROR(ROUNDUP(CB81/INDEX(productData[units_per_carton],MATCH(BZ81,productData[sku],0)),0),"")</f>
        <v/>
      </c>
      <c r="CH81" s="302" t="str">
        <f>IFERROR(ROUNDUP(CD81/INDEX(productData[units_per_carton],MATCH(BZ81,productData[sku],0)),0),"")</f>
        <v/>
      </c>
      <c r="CI81" s="302" t="str">
        <f>IFERROR(ROUNDUP(CF81/INDEX(productData[units_per_carton],MATCH(BZ81,productData[sku])),0),"")</f>
        <v/>
      </c>
      <c r="CJ81" s="302" t="str">
        <f>IFERROR(((CB81+CD81+CF81)/INDEX(productData[units_per_carton],MATCH(BZ81,productData[sku],0)))*INDEX(productData[net_weight],MATCH(BZ81,productData[sku],0)),"")</f>
        <v/>
      </c>
      <c r="CK81" s="302" t="str">
        <f>IFERROR(((CB81+CD81+CF81)/INDEX(productData[units_per_carton],MATCH(BZ81,productData[sku],0)))*INDEX(productData[gross_weight],MATCH(BZ81,productData[sku],0)),"")</f>
        <v/>
      </c>
      <c r="CL81" s="406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03" t="str">
        <f>IFERROR(INDEX(productData[category],MATCH(BZ81,productData[sku],0)),"")</f>
        <v/>
      </c>
      <c r="CN81" s="303" t="str">
        <f>IFERROR(INDEX(productData[size1],MATCH(BZ81,productData[sku],0)),"")</f>
        <v/>
      </c>
      <c r="CO81" s="304" t="str">
        <f>IFERROR(INDEX(productData[hs_code],MATCH(BZ81,productData[sku],0)),"")</f>
        <v/>
      </c>
      <c r="CP81" s="357" t="str">
        <f>IFERROR(INDEX(productData[sku_geko],MATCH(BZ81,productData[sku],0)),"")</f>
        <v/>
      </c>
      <c r="CQ81" s="300"/>
      <c r="CR81" s="375" t="str">
        <f>IFERROR(IF(BZ81="","",IF($BX$15="SALE",INDEX(inventory[COSTO UNITARIO],MATCH(BZ81,inventory[SKU],0)),IF($BX$15="SAMPLING",INDEX(inventory[COSTO UNITARIO],MATCH(BZ81,inventory[SKU],0)),""))),"")</f>
        <v/>
      </c>
      <c r="CS81" s="375" t="str">
        <f t="shared" si="8"/>
        <v/>
      </c>
      <c r="CT81" s="422" t="str">
        <f t="shared" si="9"/>
        <v/>
      </c>
      <c r="CU81" s="349" t="str">
        <f t="shared" si="10"/>
        <v/>
      </c>
      <c r="DB81" s="246" t="str">
        <f>IFERROR(VLOOKUP(BZ81,productData[],22,FALSE),"")</f>
        <v/>
      </c>
      <c r="EE81" s="329" t="str">
        <f t="array" ref="EE81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/>
      </c>
      <c r="EF81" s="493" t="str">
        <f t="array" ref="EF81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/>
      </c>
      <c r="EG81" s="330" t="str">
        <f>IFERROR(IF('BHPC MANAGER'!$EE81="","",INDEX(inventory[ESISTENZA],MATCH('BHPC MANAGER'!$EE81,inventory[SKU],0))),0)</f>
        <v/>
      </c>
      <c r="EH81" s="331" t="s">
        <v>241</v>
      </c>
      <c r="EI81" s="331" t="str">
        <f t="shared" si="11"/>
        <v/>
      </c>
      <c r="EJ81" s="332" t="s">
        <v>241</v>
      </c>
      <c r="EK81" s="333" t="str">
        <f t="shared" si="12"/>
        <v/>
      </c>
    </row>
    <row r="82" spans="12:141" ht="15" customHeight="1" x14ac:dyDescent="0.35">
      <c r="L82" s="280" t="str">
        <f t="array" ref="L82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2" s="281" t="str">
        <f t="array" ref="M82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2" s="282" t="str">
        <f t="array" ref="N82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2" s="283" t="str">
        <f t="array" ref="O82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2" s="284" t="str">
        <f t="array" ref="P82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2" s="285" t="str">
        <f t="array" ref="Q82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2" s="286" t="str">
        <f t="array" ref="R82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2" s="345" t="str">
        <f t="array" ref="S82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2" s="287" t="str">
        <f t="array" ref="T82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2" s="282" t="str">
        <f t="array" ref="U82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2" s="287" t="str">
        <f t="array" ref="V82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2" s="384" t="str">
        <f t="array" ref="W82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G82" s="190"/>
      <c r="BK82" s="261"/>
      <c r="BL82" s="262"/>
      <c r="BM82" s="263"/>
      <c r="BN82" s="262"/>
      <c r="BO82" s="263"/>
      <c r="BZ82" s="310"/>
      <c r="CA82" s="297" t="str">
        <f>IFERROR(IF(BZ82="","",INDEX(productData[description],MATCH(BZ82,productData[sku],0))),"")</f>
        <v/>
      </c>
      <c r="CB82" s="299"/>
      <c r="CC82" s="413"/>
      <c r="CD82" s="307"/>
      <c r="CE82" s="418"/>
      <c r="CF82" s="300"/>
      <c r="CG82" s="301" t="str">
        <f>IFERROR(ROUNDUP(CB82/INDEX(productData[units_per_carton],MATCH(BZ82,productData[sku],0)),0),"")</f>
        <v/>
      </c>
      <c r="CH82" s="302" t="str">
        <f>IFERROR(ROUNDUP(CD82/INDEX(productData[units_per_carton],MATCH(BZ82,productData[sku],0)),0),"")</f>
        <v/>
      </c>
      <c r="CI82" s="302" t="str">
        <f>IFERROR(ROUNDUP(CF82/INDEX(productData[units_per_carton],MATCH(BZ82,productData[sku])),0),"")</f>
        <v/>
      </c>
      <c r="CJ82" s="302" t="str">
        <f>IFERROR(((CB82+CD82+CF82)/INDEX(productData[units_per_carton],MATCH(BZ82,productData[sku],0)))*INDEX(productData[net_weight],MATCH(BZ82,productData[sku],0)),"")</f>
        <v/>
      </c>
      <c r="CK82" s="302" t="str">
        <f>IFERROR(((CB82+CD82+CF82)/INDEX(productData[units_per_carton],MATCH(BZ82,productData[sku],0)))*INDEX(productData[gross_weight],MATCH(BZ82,productData[sku],0)),"")</f>
        <v/>
      </c>
      <c r="CL82" s="406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03" t="str">
        <f>IFERROR(INDEX(productData[category],MATCH(BZ82,productData[sku],0)),"")</f>
        <v/>
      </c>
      <c r="CN82" s="303" t="str">
        <f>IFERROR(INDEX(productData[size1],MATCH(BZ82,productData[sku],0)),"")</f>
        <v/>
      </c>
      <c r="CO82" s="304" t="str">
        <f>IFERROR(INDEX(productData[hs_code],MATCH(BZ82,productData[sku],0)),"")</f>
        <v/>
      </c>
      <c r="CP82" s="357" t="str">
        <f>IFERROR(INDEX(productData[sku_geko],MATCH(BZ82,productData[sku],0)),"")</f>
        <v/>
      </c>
      <c r="CQ82" s="300"/>
      <c r="CR82" s="375" t="str">
        <f>IFERROR(IF(BZ82="","",IF($BX$15="SALE",INDEX(inventory[COSTO UNITARIO],MATCH(BZ82,inventory[SKU],0)),IF($BX$15="SAMPLING",INDEX(inventory[COSTO UNITARIO],MATCH(BZ82,inventory[SKU],0)),""))),"")</f>
        <v/>
      </c>
      <c r="CS82" s="375" t="str">
        <f t="shared" si="8"/>
        <v/>
      </c>
      <c r="CT82" s="422" t="str">
        <f t="shared" si="9"/>
        <v/>
      </c>
      <c r="CU82" s="349" t="str">
        <f t="shared" si="10"/>
        <v/>
      </c>
      <c r="DB82" s="246" t="str">
        <f>IFERROR(VLOOKUP(BZ82,productData[],22,FALSE),"")</f>
        <v/>
      </c>
      <c r="EE82" s="334" t="str">
        <f t="array" ref="EE82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/>
      </c>
      <c r="EF82" s="494" t="str">
        <f t="array" ref="EF82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/>
      </c>
      <c r="EG82" s="335" t="str">
        <f>IFERROR(IF('BHPC MANAGER'!$EE82="","",INDEX(inventory[ESISTENZA],MATCH('BHPC MANAGER'!$EE82,inventory[SKU],0))),0)</f>
        <v/>
      </c>
      <c r="EH82" s="336" t="s">
        <v>241</v>
      </c>
      <c r="EI82" s="336" t="str">
        <f t="shared" si="11"/>
        <v/>
      </c>
      <c r="EJ82" s="337" t="s">
        <v>241</v>
      </c>
      <c r="EK82" s="338" t="str">
        <f t="shared" si="12"/>
        <v/>
      </c>
    </row>
    <row r="83" spans="12:141" ht="15" customHeight="1" x14ac:dyDescent="0.35">
      <c r="L83" s="280" t="str">
        <f t="array" ref="L83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3" s="281" t="str">
        <f t="array" ref="M83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3" s="282" t="str">
        <f t="array" ref="N83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3" s="283" t="str">
        <f t="array" ref="O83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3" s="284" t="str">
        <f t="array" ref="P83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3" s="285" t="str">
        <f t="array" ref="Q83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3" s="286" t="str">
        <f t="array" ref="R83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3" s="345" t="str">
        <f t="array" ref="S83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3" s="287" t="str">
        <f t="array" ref="T83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3" s="282" t="str">
        <f t="array" ref="U83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3" s="287" t="str">
        <f t="array" ref="V83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3" s="384" t="str">
        <f t="array" ref="W83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G83" s="190"/>
      <c r="BK83" s="261"/>
      <c r="BL83" s="262"/>
      <c r="BM83" s="263"/>
      <c r="BN83" s="262"/>
      <c r="BO83" s="263"/>
      <c r="BZ83" s="310"/>
      <c r="CA83" s="297" t="str">
        <f>IFERROR(IF(BZ83="","",INDEX(productData[description],MATCH(BZ83,productData[sku],0))),"")</f>
        <v/>
      </c>
      <c r="CB83" s="299"/>
      <c r="CC83" s="413"/>
      <c r="CD83" s="307"/>
      <c r="CE83" s="418"/>
      <c r="CF83" s="300"/>
      <c r="CG83" s="301" t="str">
        <f>IFERROR(ROUNDUP(CB83/INDEX(productData[units_per_carton],MATCH(BZ83,productData[sku],0)),0),"")</f>
        <v/>
      </c>
      <c r="CH83" s="302" t="str">
        <f>IFERROR(ROUNDUP(CD83/INDEX(productData[units_per_carton],MATCH(BZ83,productData[sku],0)),0),"")</f>
        <v/>
      </c>
      <c r="CI83" s="302" t="str">
        <f>IFERROR(ROUNDUP(CF83/INDEX(productData[units_per_carton],MATCH(BZ83,productData[sku])),0),"")</f>
        <v/>
      </c>
      <c r="CJ83" s="302" t="str">
        <f>IFERROR(((CB83+CD83+CF83)/INDEX(productData[units_per_carton],MATCH(BZ83,productData[sku],0)))*INDEX(productData[net_weight],MATCH(BZ83,productData[sku],0)),"")</f>
        <v/>
      </c>
      <c r="CK83" s="302" t="str">
        <f>IFERROR(((CB83+CD83+CF83)/INDEX(productData[units_per_carton],MATCH(BZ83,productData[sku],0)))*INDEX(productData[gross_weight],MATCH(BZ83,productData[sku],0)),"")</f>
        <v/>
      </c>
      <c r="CL83" s="406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03" t="str">
        <f>IFERROR(INDEX(productData[category],MATCH(BZ83,productData[sku],0)),"")</f>
        <v/>
      </c>
      <c r="CN83" s="303" t="str">
        <f>IFERROR(INDEX(productData[size1],MATCH(BZ83,productData[sku],0)),"")</f>
        <v/>
      </c>
      <c r="CO83" s="304" t="str">
        <f>IFERROR(INDEX(productData[hs_code],MATCH(BZ83,productData[sku],0)),"")</f>
        <v/>
      </c>
      <c r="CP83" s="357" t="str">
        <f>IFERROR(INDEX(productData[sku_geko],MATCH(BZ83,productData[sku],0)),"")</f>
        <v/>
      </c>
      <c r="CQ83" s="300"/>
      <c r="CR83" s="375" t="str">
        <f>IFERROR(IF(BZ83="","",IF($BX$15="SALE",INDEX(inventory[COSTO UNITARIO],MATCH(BZ83,inventory[SKU],0)),IF($BX$15="SAMPLING",INDEX(inventory[COSTO UNITARIO],MATCH(BZ83,inventory[SKU],0)),""))),"")</f>
        <v/>
      </c>
      <c r="CS83" s="375" t="str">
        <f t="shared" si="8"/>
        <v/>
      </c>
      <c r="CT83" s="422" t="str">
        <f t="shared" si="9"/>
        <v/>
      </c>
      <c r="CU83" s="349" t="str">
        <f t="shared" si="10"/>
        <v/>
      </c>
      <c r="DB83" s="246" t="str">
        <f>IFERROR(VLOOKUP(BZ83,productData[],22,FALSE),"")</f>
        <v/>
      </c>
      <c r="EE83" s="329" t="str">
        <f t="array" ref="EE83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/>
      </c>
      <c r="EF83" s="493" t="str">
        <f t="array" ref="EF83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/>
      </c>
      <c r="EG83" s="330" t="str">
        <f>IFERROR(IF('BHPC MANAGER'!$EE83="","",INDEX(inventory[ESISTENZA],MATCH('BHPC MANAGER'!$EE83,inventory[SKU],0))),0)</f>
        <v/>
      </c>
      <c r="EH83" s="331" t="s">
        <v>241</v>
      </c>
      <c r="EI83" s="331" t="str">
        <f t="shared" si="11"/>
        <v/>
      </c>
      <c r="EJ83" s="332" t="s">
        <v>241</v>
      </c>
      <c r="EK83" s="333" t="str">
        <f t="shared" si="12"/>
        <v/>
      </c>
    </row>
    <row r="84" spans="12:141" ht="15" customHeight="1" x14ac:dyDescent="0.35">
      <c r="L84" s="280" t="str">
        <f t="array" ref="L84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4" s="281" t="str">
        <f t="array" ref="M84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4" s="282" t="str">
        <f t="array" ref="N84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4" s="283" t="str">
        <f t="array" ref="O84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4" s="284" t="str">
        <f t="array" ref="P84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4" s="285" t="str">
        <f t="array" ref="Q84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4" s="286" t="str">
        <f t="array" ref="R84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4" s="345" t="str">
        <f t="array" ref="S84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4" s="287" t="str">
        <f t="array" ref="T84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4" s="282" t="str">
        <f t="array" ref="U84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4" s="287" t="str">
        <f t="array" ref="V84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4" s="384" t="str">
        <f t="array" ref="W84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4" s="261"/>
      <c r="BL84" s="262"/>
      <c r="BM84" s="263"/>
      <c r="BN84" s="262"/>
      <c r="BO84" s="263"/>
      <c r="BZ84" s="310"/>
      <c r="CA84" s="297" t="str">
        <f>IFERROR(IF(BZ84="","",INDEX(productData[description],MATCH(BZ84,productData[sku],0))),"")</f>
        <v/>
      </c>
      <c r="CB84" s="299"/>
      <c r="CC84" s="413"/>
      <c r="CD84" s="307"/>
      <c r="CE84" s="418"/>
      <c r="CF84" s="300"/>
      <c r="CG84" s="301" t="str">
        <f>IFERROR(ROUNDUP(CB84/INDEX(productData[units_per_carton],MATCH(BZ84,productData[sku],0)),0),"")</f>
        <v/>
      </c>
      <c r="CH84" s="302" t="str">
        <f>IFERROR(ROUNDUP(CD84/INDEX(productData[units_per_carton],MATCH(BZ84,productData[sku],0)),0),"")</f>
        <v/>
      </c>
      <c r="CI84" s="302" t="str">
        <f>IFERROR(ROUNDUP(CF84/INDEX(productData[units_per_carton],MATCH(BZ84,productData[sku])),0),"")</f>
        <v/>
      </c>
      <c r="CJ84" s="302" t="str">
        <f>IFERROR(((CB84+CD84+CF84)/INDEX(productData[units_per_carton],MATCH(BZ84,productData[sku],0)))*INDEX(productData[net_weight],MATCH(BZ84,productData[sku],0)),"")</f>
        <v/>
      </c>
      <c r="CK84" s="302" t="str">
        <f>IFERROR(((CB84+CD84+CF84)/INDEX(productData[units_per_carton],MATCH(BZ84,productData[sku],0)))*INDEX(productData[gross_weight],MATCH(BZ84,productData[sku],0)),"")</f>
        <v/>
      </c>
      <c r="CL84" s="406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03" t="str">
        <f>IFERROR(INDEX(productData[category],MATCH(BZ84,productData[sku],0)),"")</f>
        <v/>
      </c>
      <c r="CN84" s="303" t="str">
        <f>IFERROR(INDEX(productData[size1],MATCH(BZ84,productData[sku],0)),"")</f>
        <v/>
      </c>
      <c r="CO84" s="304" t="str">
        <f>IFERROR(INDEX(productData[hs_code],MATCH(BZ84,productData[sku],0)),"")</f>
        <v/>
      </c>
      <c r="CP84" s="357" t="str">
        <f>IFERROR(INDEX(productData[sku_geko],MATCH(BZ84,productData[sku],0)),"")</f>
        <v/>
      </c>
      <c r="CQ84" s="300"/>
      <c r="CR84" s="375" t="str">
        <f>IFERROR(IF(BZ84="","",IF($BX$15="SALE",INDEX(inventory[COSTO UNITARIO],MATCH(BZ84,inventory[SKU],0)),IF($BX$15="SAMPLING",INDEX(inventory[COSTO UNITARIO],MATCH(BZ84,inventory[SKU],0)),""))),"")</f>
        <v/>
      </c>
      <c r="CS84" s="375" t="str">
        <f t="shared" si="8"/>
        <v/>
      </c>
      <c r="CT84" s="422" t="str">
        <f t="shared" si="9"/>
        <v/>
      </c>
      <c r="CU84" s="349" t="str">
        <f t="shared" si="10"/>
        <v/>
      </c>
      <c r="DB84" s="246" t="str">
        <f>IFERROR(VLOOKUP(BZ84,productData[],22,FALSE),"")</f>
        <v/>
      </c>
      <c r="EE84" s="334" t="str">
        <f t="array" ref="EE84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/>
      </c>
      <c r="EF84" s="494" t="str">
        <f t="array" ref="EF84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/>
      </c>
      <c r="EG84" s="335" t="str">
        <f>IFERROR(IF('BHPC MANAGER'!$EE84="","",INDEX(inventory[ESISTENZA],MATCH('BHPC MANAGER'!$EE84,inventory[SKU],0))),0)</f>
        <v/>
      </c>
      <c r="EH84" s="336" t="s">
        <v>241</v>
      </c>
      <c r="EI84" s="336" t="str">
        <f t="shared" si="11"/>
        <v/>
      </c>
      <c r="EJ84" s="337" t="s">
        <v>241</v>
      </c>
      <c r="EK84" s="338" t="str">
        <f t="shared" si="12"/>
        <v/>
      </c>
    </row>
    <row r="85" spans="12:141" ht="15" customHeight="1" x14ac:dyDescent="0.35">
      <c r="L85" s="280" t="str">
        <f t="array" ref="L85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5" s="281" t="str">
        <f t="array" ref="M85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5" s="282" t="str">
        <f t="array" ref="N85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5" s="283" t="str">
        <f t="array" ref="O85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5" s="284" t="str">
        <f t="array" ref="P85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5" s="285" t="str">
        <f t="array" ref="Q85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5" s="286" t="str">
        <f t="array" ref="R85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5" s="345" t="str">
        <f t="array" ref="S85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5" s="287" t="str">
        <f t="array" ref="T85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5" s="282" t="str">
        <f t="array" ref="U85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5" s="287" t="str">
        <f t="array" ref="V85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5" s="384" t="str">
        <f t="array" ref="W85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5" s="261"/>
      <c r="BL85" s="262"/>
      <c r="BM85" s="263"/>
      <c r="BN85" s="262"/>
      <c r="BO85" s="263"/>
      <c r="BZ85" s="310"/>
      <c r="CA85" s="297" t="str">
        <f>IFERROR(IF(BZ85="","",INDEX(productData[description],MATCH(BZ85,productData[sku],0))),"")</f>
        <v/>
      </c>
      <c r="CB85" s="299"/>
      <c r="CC85" s="413"/>
      <c r="CD85" s="307"/>
      <c r="CE85" s="418"/>
      <c r="CF85" s="300"/>
      <c r="CG85" s="301" t="str">
        <f>IFERROR(ROUNDUP(CB85/INDEX(productData[units_per_carton],MATCH(BZ85,productData[sku],0)),0),"")</f>
        <v/>
      </c>
      <c r="CH85" s="302" t="str">
        <f>IFERROR(ROUNDUP(CD85/INDEX(productData[units_per_carton],MATCH(BZ85,productData[sku],0)),0),"")</f>
        <v/>
      </c>
      <c r="CI85" s="302" t="str">
        <f>IFERROR(ROUNDUP(CF85/INDEX(productData[units_per_carton],MATCH(BZ85,productData[sku])),0),"")</f>
        <v/>
      </c>
      <c r="CJ85" s="302" t="str">
        <f>IFERROR(((CB85+CD85+CF85)/INDEX(productData[units_per_carton],MATCH(BZ85,productData[sku],0)))*INDEX(productData[net_weight],MATCH(BZ85,productData[sku],0)),"")</f>
        <v/>
      </c>
      <c r="CK85" s="302" t="str">
        <f>IFERROR(((CB85+CD85+CF85)/INDEX(productData[units_per_carton],MATCH(BZ85,productData[sku],0)))*INDEX(productData[gross_weight],MATCH(BZ85,productData[sku],0)),"")</f>
        <v/>
      </c>
      <c r="CL85" s="406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03" t="str">
        <f>IFERROR(INDEX(productData[category],MATCH(BZ85,productData[sku],0)),"")</f>
        <v/>
      </c>
      <c r="CN85" s="303" t="str">
        <f>IFERROR(INDEX(productData[size1],MATCH(BZ85,productData[sku],0)),"")</f>
        <v/>
      </c>
      <c r="CO85" s="304" t="str">
        <f>IFERROR(INDEX(productData[hs_code],MATCH(BZ85,productData[sku],0)),"")</f>
        <v/>
      </c>
      <c r="CP85" s="357" t="str">
        <f>IFERROR(INDEX(productData[sku_geko],MATCH(BZ85,productData[sku],0)),"")</f>
        <v/>
      </c>
      <c r="CQ85" s="300"/>
      <c r="CR85" s="375" t="str">
        <f>IFERROR(IF(BZ85="","",IF($BX$15="SALE",INDEX(inventory[COSTO UNITARIO],MATCH(BZ85,inventory[SKU],0)),IF($BX$15="SAMPLING",INDEX(inventory[COSTO UNITARIO],MATCH(BZ85,inventory[SKU],0)),""))),"")</f>
        <v/>
      </c>
      <c r="CS85" s="375" t="str">
        <f t="shared" si="8"/>
        <v/>
      </c>
      <c r="CT85" s="422" t="str">
        <f t="shared" si="9"/>
        <v/>
      </c>
      <c r="CU85" s="349" t="str">
        <f t="shared" si="10"/>
        <v/>
      </c>
      <c r="DB85" s="246" t="str">
        <f>IFERROR(VLOOKUP(BZ85,productData[],22,FALSE),"")</f>
        <v/>
      </c>
      <c r="EE85" s="329" t="str">
        <f t="array" ref="EE85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/>
      </c>
      <c r="EF85" s="493" t="str">
        <f t="array" ref="EF85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/>
      </c>
      <c r="EG85" s="330" t="str">
        <f>IFERROR(IF('BHPC MANAGER'!$EE85="","",INDEX(inventory[ESISTENZA],MATCH('BHPC MANAGER'!$EE85,inventory[SKU],0))),0)</f>
        <v/>
      </c>
      <c r="EH85" s="331" t="s">
        <v>241</v>
      </c>
      <c r="EI85" s="331" t="str">
        <f t="shared" si="11"/>
        <v/>
      </c>
      <c r="EJ85" s="332" t="s">
        <v>241</v>
      </c>
      <c r="EK85" s="333" t="str">
        <f t="shared" si="12"/>
        <v/>
      </c>
    </row>
    <row r="86" spans="12:141" ht="15" customHeight="1" x14ac:dyDescent="0.35">
      <c r="L86" s="280" t="str">
        <f t="array" ref="L86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6" s="281" t="str">
        <f t="array" ref="M86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6" s="282" t="str">
        <f t="array" ref="N86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6" s="283" t="str">
        <f t="array" ref="O86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6" s="284" t="str">
        <f t="array" ref="P86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6" s="285" t="str">
        <f t="array" ref="Q86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6" s="286" t="str">
        <f t="array" ref="R86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6" s="345" t="str">
        <f t="array" ref="S86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6" s="287" t="str">
        <f t="array" ref="T86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6" s="282" t="str">
        <f t="array" ref="U86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6" s="287" t="str">
        <f t="array" ref="V86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6" s="384" t="str">
        <f t="array" ref="W86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6" s="261"/>
      <c r="BL86" s="262"/>
      <c r="BM86" s="263"/>
      <c r="BN86" s="262"/>
      <c r="BO86" s="263"/>
      <c r="BZ86" s="310"/>
      <c r="CA86" s="297" t="str">
        <f>IFERROR(IF(BZ86="","",INDEX(productData[description],MATCH(BZ86,productData[sku],0))),"")</f>
        <v/>
      </c>
      <c r="CB86" s="299"/>
      <c r="CC86" s="413"/>
      <c r="CD86" s="307"/>
      <c r="CE86" s="418"/>
      <c r="CF86" s="300"/>
      <c r="CG86" s="301" t="str">
        <f>IFERROR(ROUNDUP(CB86/INDEX(productData[units_per_carton],MATCH(BZ86,productData[sku],0)),0),"")</f>
        <v/>
      </c>
      <c r="CH86" s="302" t="str">
        <f>IFERROR(ROUNDUP(CD86/INDEX(productData[units_per_carton],MATCH(BZ86,productData[sku],0)),0),"")</f>
        <v/>
      </c>
      <c r="CI86" s="302" t="str">
        <f>IFERROR(ROUNDUP(CF86/INDEX(productData[units_per_carton],MATCH(BZ86,productData[sku])),0),"")</f>
        <v/>
      </c>
      <c r="CJ86" s="302" t="str">
        <f>IFERROR(((CB86+CD86+CF86)/INDEX(productData[units_per_carton],MATCH(BZ86,productData[sku],0)))*INDEX(productData[net_weight],MATCH(BZ86,productData[sku],0)),"")</f>
        <v/>
      </c>
      <c r="CK86" s="302" t="str">
        <f>IFERROR(((CB86+CD86+CF86)/INDEX(productData[units_per_carton],MATCH(BZ86,productData[sku],0)))*INDEX(productData[gross_weight],MATCH(BZ86,productData[sku],0)),"")</f>
        <v/>
      </c>
      <c r="CL86" s="406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03" t="str">
        <f>IFERROR(INDEX(productData[category],MATCH(BZ86,productData[sku],0)),"")</f>
        <v/>
      </c>
      <c r="CN86" s="303" t="str">
        <f>IFERROR(INDEX(productData[size1],MATCH(BZ86,productData[sku],0)),"")</f>
        <v/>
      </c>
      <c r="CO86" s="304" t="str">
        <f>IFERROR(INDEX(productData[hs_code],MATCH(BZ86,productData[sku],0)),"")</f>
        <v/>
      </c>
      <c r="CP86" s="357" t="str">
        <f>IFERROR(INDEX(productData[sku_geko],MATCH(BZ86,productData[sku],0)),"")</f>
        <v/>
      </c>
      <c r="CQ86" s="300"/>
      <c r="CR86" s="375" t="str">
        <f>IFERROR(IF(BZ86="","",IF($BX$15="SALE",INDEX(inventory[COSTO UNITARIO],MATCH(BZ86,inventory[SKU],0)),IF($BX$15="SAMPLING",INDEX(inventory[COSTO UNITARIO],MATCH(BZ86,inventory[SKU],0)),""))),"")</f>
        <v/>
      </c>
      <c r="CS86" s="375" t="str">
        <f t="shared" si="8"/>
        <v/>
      </c>
      <c r="CT86" s="422" t="str">
        <f t="shared" si="9"/>
        <v/>
      </c>
      <c r="CU86" s="349" t="str">
        <f t="shared" si="10"/>
        <v/>
      </c>
      <c r="DB86" s="246" t="str">
        <f>IFERROR(VLOOKUP(BZ86,productData[],22,FALSE),"")</f>
        <v/>
      </c>
      <c r="EE86" s="334" t="str">
        <f t="array" ref="EE86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/>
      </c>
      <c r="EF86" s="494" t="str">
        <f t="array" ref="EF86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/>
      </c>
      <c r="EG86" s="335" t="str">
        <f>IFERROR(IF('BHPC MANAGER'!$EE86="","",INDEX(inventory[ESISTENZA],MATCH('BHPC MANAGER'!$EE86,inventory[SKU],0))),0)</f>
        <v/>
      </c>
      <c r="EH86" s="336" t="s">
        <v>241</v>
      </c>
      <c r="EI86" s="336" t="str">
        <f t="shared" si="11"/>
        <v/>
      </c>
      <c r="EJ86" s="337" t="s">
        <v>241</v>
      </c>
      <c r="EK86" s="338" t="str">
        <f t="shared" si="12"/>
        <v/>
      </c>
    </row>
    <row r="87" spans="12:141" ht="15" customHeight="1" x14ac:dyDescent="0.35">
      <c r="L87" s="280" t="str">
        <f t="array" ref="L87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7" s="281" t="str">
        <f t="array" ref="M87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7" s="282" t="str">
        <f t="array" ref="N87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7" s="283" t="str">
        <f t="array" ref="O87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7" s="284" t="str">
        <f t="array" ref="P87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7" s="285" t="str">
        <f t="array" ref="Q87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7" s="286" t="str">
        <f t="array" ref="R87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7" s="345" t="str">
        <f t="array" ref="S87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7" s="287" t="str">
        <f t="array" ref="T87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7" s="282" t="str">
        <f t="array" ref="U87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7" s="287" t="str">
        <f t="array" ref="V87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7" s="384" t="str">
        <f t="array" ref="W87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7" s="261"/>
      <c r="BL87" s="262"/>
      <c r="BM87" s="263"/>
      <c r="BN87" s="262"/>
      <c r="BO87" s="263"/>
      <c r="BZ87" s="310"/>
      <c r="CA87" s="297" t="str">
        <f>IFERROR(IF(BZ87="","",INDEX(productData[description],MATCH(BZ87,productData[sku],0))),"")</f>
        <v/>
      </c>
      <c r="CB87" s="299"/>
      <c r="CC87" s="413"/>
      <c r="CD87" s="307"/>
      <c r="CE87" s="418"/>
      <c r="CF87" s="300"/>
      <c r="CG87" s="301" t="str">
        <f>IFERROR(ROUNDUP(CB87/INDEX(productData[units_per_carton],MATCH(BZ87,productData[sku],0)),0),"")</f>
        <v/>
      </c>
      <c r="CH87" s="302" t="str">
        <f>IFERROR(ROUNDUP(CD87/INDEX(productData[units_per_carton],MATCH(BZ87,productData[sku],0)),0),"")</f>
        <v/>
      </c>
      <c r="CI87" s="302" t="str">
        <f>IFERROR(ROUNDUP(CF87/INDEX(productData[units_per_carton],MATCH(BZ87,productData[sku])),0),"")</f>
        <v/>
      </c>
      <c r="CJ87" s="302" t="str">
        <f>IFERROR(((CB87+CD87+CF87)/INDEX(productData[units_per_carton],MATCH(BZ87,productData[sku],0)))*INDEX(productData[net_weight],MATCH(BZ87,productData[sku],0)),"")</f>
        <v/>
      </c>
      <c r="CK87" s="302" t="str">
        <f>IFERROR(((CB87+CD87+CF87)/INDEX(productData[units_per_carton],MATCH(BZ87,productData[sku],0)))*INDEX(productData[gross_weight],MATCH(BZ87,productData[sku],0)),"")</f>
        <v/>
      </c>
      <c r="CL87" s="406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03" t="str">
        <f>IFERROR(INDEX(productData[category],MATCH(BZ87,productData[sku],0)),"")</f>
        <v/>
      </c>
      <c r="CN87" s="303" t="str">
        <f>IFERROR(INDEX(productData[size1],MATCH(BZ87,productData[sku],0)),"")</f>
        <v/>
      </c>
      <c r="CO87" s="304" t="str">
        <f>IFERROR(INDEX(productData[hs_code],MATCH(BZ87,productData[sku],0)),"")</f>
        <v/>
      </c>
      <c r="CP87" s="357" t="str">
        <f>IFERROR(INDEX(productData[sku_geko],MATCH(BZ87,productData[sku],0)),"")</f>
        <v/>
      </c>
      <c r="CQ87" s="300"/>
      <c r="CR87" s="375" t="str">
        <f>IFERROR(IF(BZ87="","",IF($BX$15="SALE",INDEX(inventory[COSTO UNITARIO],MATCH(BZ87,inventory[SKU],0)),IF($BX$15="SAMPLING",INDEX(inventory[COSTO UNITARIO],MATCH(BZ87,inventory[SKU],0)),""))),"")</f>
        <v/>
      </c>
      <c r="CS87" s="375" t="str">
        <f t="shared" si="8"/>
        <v/>
      </c>
      <c r="CT87" s="422" t="str">
        <f t="shared" si="9"/>
        <v/>
      </c>
      <c r="CU87" s="349" t="str">
        <f t="shared" si="10"/>
        <v/>
      </c>
      <c r="DB87" s="246" t="str">
        <f>IFERROR(VLOOKUP(BZ87,productData[],22,FALSE),"")</f>
        <v/>
      </c>
      <c r="EE87" s="329" t="str">
        <f t="array" ref="EE87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/>
      </c>
      <c r="EF87" s="493" t="str">
        <f t="array" ref="EF87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/>
      </c>
      <c r="EG87" s="330" t="str">
        <f>IFERROR(IF('BHPC MANAGER'!$EE87="","",INDEX(inventory[ESISTENZA],MATCH('BHPC MANAGER'!$EE87,inventory[SKU],0))),0)</f>
        <v/>
      </c>
      <c r="EH87" s="331" t="s">
        <v>241</v>
      </c>
      <c r="EI87" s="331" t="str">
        <f t="shared" si="11"/>
        <v/>
      </c>
      <c r="EJ87" s="332" t="s">
        <v>241</v>
      </c>
      <c r="EK87" s="333" t="str">
        <f t="shared" si="12"/>
        <v/>
      </c>
    </row>
    <row r="88" spans="12:141" ht="15" customHeight="1" x14ac:dyDescent="0.35">
      <c r="L88" s="280" t="str">
        <f t="array" ref="L88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88" s="281" t="str">
        <f t="array" ref="M88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88" s="282" t="str">
        <f t="array" ref="N88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88" s="283" t="str">
        <f t="array" ref="O88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88" s="284" t="str">
        <f t="array" ref="P88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88" s="285" t="str">
        <f t="array" ref="Q88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88" s="286" t="str">
        <f t="array" ref="R88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88" s="345" t="str">
        <f t="array" ref="S88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88" s="287" t="str">
        <f t="array" ref="T88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88" s="282" t="str">
        <f t="array" ref="U88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88" s="287" t="str">
        <f t="array" ref="V88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88" s="384" t="str">
        <f t="array" ref="W88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88" s="261"/>
      <c r="BL88" s="262"/>
      <c r="BM88" s="263"/>
      <c r="BN88" s="262"/>
      <c r="BO88" s="263"/>
      <c r="BZ88" s="310"/>
      <c r="CA88" s="297" t="str">
        <f>IFERROR(IF(BZ88="","",INDEX(productData[description],MATCH(BZ88,productData[sku],0))),"")</f>
        <v/>
      </c>
      <c r="CB88" s="299"/>
      <c r="CC88" s="413"/>
      <c r="CD88" s="307"/>
      <c r="CE88" s="418"/>
      <c r="CF88" s="300"/>
      <c r="CG88" s="301" t="str">
        <f>IFERROR(ROUNDUP(CB88/INDEX(productData[units_per_carton],MATCH(BZ88,productData[sku],0)),0),"")</f>
        <v/>
      </c>
      <c r="CH88" s="302" t="str">
        <f>IFERROR(ROUNDUP(CD88/INDEX(productData[units_per_carton],MATCH(BZ88,productData[sku],0)),0),"")</f>
        <v/>
      </c>
      <c r="CI88" s="302" t="str">
        <f>IFERROR(ROUNDUP(CF88/INDEX(productData[units_per_carton],MATCH(BZ88,productData[sku])),0),"")</f>
        <v/>
      </c>
      <c r="CJ88" s="302" t="str">
        <f>IFERROR(((CB88+CD88+CF88)/INDEX(productData[units_per_carton],MATCH(BZ88,productData[sku],0)))*INDEX(productData[net_weight],MATCH(BZ88,productData[sku],0)),"")</f>
        <v/>
      </c>
      <c r="CK88" s="302" t="str">
        <f>IFERROR(((CB88+CD88+CF88)/INDEX(productData[units_per_carton],MATCH(BZ88,productData[sku],0)))*INDEX(productData[gross_weight],MATCH(BZ88,productData[sku],0)),"")</f>
        <v/>
      </c>
      <c r="CL88" s="406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03" t="str">
        <f>IFERROR(INDEX(productData[category],MATCH(BZ88,productData[sku],0)),"")</f>
        <v/>
      </c>
      <c r="CN88" s="303" t="str">
        <f>IFERROR(INDEX(productData[size1],MATCH(BZ88,productData[sku],0)),"")</f>
        <v/>
      </c>
      <c r="CO88" s="304" t="str">
        <f>IFERROR(INDEX(productData[hs_code],MATCH(BZ88,productData[sku],0)),"")</f>
        <v/>
      </c>
      <c r="CP88" s="357" t="str">
        <f>IFERROR(INDEX(productData[sku_geko],MATCH(BZ88,productData[sku],0)),"")</f>
        <v/>
      </c>
      <c r="CQ88" s="300"/>
      <c r="CR88" s="375" t="str">
        <f>IFERROR(IF(BZ88="","",IF($BX$15="SALE",INDEX(inventory[COSTO UNITARIO],MATCH(BZ88,inventory[SKU],0)),IF($BX$15="SAMPLING",INDEX(inventory[COSTO UNITARIO],MATCH(BZ88,inventory[SKU],0)),""))),"")</f>
        <v/>
      </c>
      <c r="CS88" s="375" t="str">
        <f t="shared" si="8"/>
        <v/>
      </c>
      <c r="CT88" s="422" t="str">
        <f t="shared" si="9"/>
        <v/>
      </c>
      <c r="CU88" s="349" t="str">
        <f t="shared" si="10"/>
        <v/>
      </c>
      <c r="DB88" s="246" t="str">
        <f>IFERROR(VLOOKUP(BZ88,productData[],22,FALSE),"")</f>
        <v/>
      </c>
      <c r="EE88" s="334" t="str">
        <f t="array" ref="EE88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/>
      </c>
      <c r="EF88" s="494" t="str">
        <f t="array" ref="EF88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/>
      </c>
      <c r="EG88" s="335" t="str">
        <f>IFERROR(IF('BHPC MANAGER'!$EE88="","",INDEX(inventory[ESISTENZA],MATCH('BHPC MANAGER'!$EE88,inventory[SKU],0))),0)</f>
        <v/>
      </c>
      <c r="EH88" s="336" t="s">
        <v>241</v>
      </c>
      <c r="EI88" s="336" t="str">
        <f t="shared" si="11"/>
        <v/>
      </c>
      <c r="EJ88" s="337" t="s">
        <v>241</v>
      </c>
      <c r="EK88" s="338" t="str">
        <f t="shared" si="12"/>
        <v/>
      </c>
    </row>
    <row r="89" spans="12:141" ht="15" customHeight="1" x14ac:dyDescent="0.35">
      <c r="L89" s="280" t="str">
        <f t="array" ref="L89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89" s="281" t="str">
        <f t="array" ref="M89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89" s="282" t="str">
        <f t="array" ref="N89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89" s="283" t="str">
        <f t="array" ref="O89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89" s="284" t="str">
        <f t="array" ref="P89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89" s="285" t="str">
        <f t="array" ref="Q89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89" s="286" t="str">
        <f t="array" ref="R89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89" s="345" t="str">
        <f t="array" ref="S89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89" s="287" t="str">
        <f t="array" ref="T89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89" s="282" t="str">
        <f t="array" ref="U89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89" s="287" t="str">
        <f t="array" ref="V89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89" s="384" t="str">
        <f t="array" ref="W89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89" s="261"/>
      <c r="BL89" s="262"/>
      <c r="BM89" s="263"/>
      <c r="BN89" s="262"/>
      <c r="BO89" s="263"/>
      <c r="BZ89" s="310"/>
      <c r="CA89" s="297" t="str">
        <f>IFERROR(IF(BZ89="","",INDEX(productData[description],MATCH(BZ89,productData[sku],0))),"")</f>
        <v/>
      </c>
      <c r="CB89" s="299"/>
      <c r="CC89" s="413"/>
      <c r="CD89" s="307"/>
      <c r="CE89" s="418"/>
      <c r="CF89" s="300"/>
      <c r="CG89" s="301" t="str">
        <f>IFERROR(ROUNDUP(CB89/INDEX(productData[units_per_carton],MATCH(BZ89,productData[sku],0)),0),"")</f>
        <v/>
      </c>
      <c r="CH89" s="302" t="str">
        <f>IFERROR(ROUNDUP(CD89/INDEX(productData[units_per_carton],MATCH(BZ89,productData[sku],0)),0),"")</f>
        <v/>
      </c>
      <c r="CI89" s="302" t="str">
        <f>IFERROR(ROUNDUP(CF89/INDEX(productData[units_per_carton],MATCH(BZ89,productData[sku])),0),"")</f>
        <v/>
      </c>
      <c r="CJ89" s="302" t="str">
        <f>IFERROR(((CB89+CD89+CF89)/INDEX(productData[units_per_carton],MATCH(BZ89,productData[sku],0)))*INDEX(productData[net_weight],MATCH(BZ89,productData[sku],0)),"")</f>
        <v/>
      </c>
      <c r="CK89" s="302" t="str">
        <f>IFERROR(((CB89+CD89+CF89)/INDEX(productData[units_per_carton],MATCH(BZ89,productData[sku],0)))*INDEX(productData[gross_weight],MATCH(BZ89,productData[sku],0)),"")</f>
        <v/>
      </c>
      <c r="CL89" s="406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03" t="str">
        <f>IFERROR(INDEX(productData[category],MATCH(BZ89,productData[sku],0)),"")</f>
        <v/>
      </c>
      <c r="CN89" s="303" t="str">
        <f>IFERROR(INDEX(productData[size1],MATCH(BZ89,productData[sku],0)),"")</f>
        <v/>
      </c>
      <c r="CO89" s="304" t="str">
        <f>IFERROR(INDEX(productData[hs_code],MATCH(BZ89,productData[sku],0)),"")</f>
        <v/>
      </c>
      <c r="CP89" s="357" t="str">
        <f>IFERROR(INDEX(productData[sku_geko],MATCH(BZ89,productData[sku],0)),"")</f>
        <v/>
      </c>
      <c r="CQ89" s="300"/>
      <c r="CR89" s="375" t="str">
        <f>IFERROR(IF(BZ89="","",IF($BX$15="SALE",INDEX(inventory[COSTO UNITARIO],MATCH(BZ89,inventory[SKU],0)),IF($BX$15="SAMPLING",INDEX(inventory[COSTO UNITARIO],MATCH(BZ89,inventory[SKU],0)),""))),"")</f>
        <v/>
      </c>
      <c r="CS89" s="375" t="str">
        <f t="shared" si="8"/>
        <v/>
      </c>
      <c r="CT89" s="422" t="str">
        <f t="shared" si="9"/>
        <v/>
      </c>
      <c r="CU89" s="349" t="str">
        <f t="shared" si="10"/>
        <v/>
      </c>
      <c r="DB89" s="246" t="str">
        <f>IFERROR(VLOOKUP(BZ89,productData[],22,FALSE),"")</f>
        <v/>
      </c>
      <c r="EE89" s="329" t="str">
        <f t="array" ref="EE89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/>
      </c>
      <c r="EF89" s="493" t="str">
        <f t="array" ref="EF89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/>
      </c>
      <c r="EG89" s="330" t="str">
        <f>IFERROR(IF('BHPC MANAGER'!$EE89="","",INDEX(inventory[ESISTENZA],MATCH('BHPC MANAGER'!$EE89,inventory[SKU],0))),0)</f>
        <v/>
      </c>
      <c r="EH89" s="331" t="s">
        <v>241</v>
      </c>
      <c r="EI89" s="331" t="str">
        <f t="shared" si="11"/>
        <v/>
      </c>
      <c r="EJ89" s="332" t="s">
        <v>241</v>
      </c>
      <c r="EK89" s="333" t="str">
        <f t="shared" si="12"/>
        <v/>
      </c>
    </row>
    <row r="90" spans="12:141" ht="15" customHeight="1" x14ac:dyDescent="0.35">
      <c r="L90" s="280" t="str">
        <f t="array" ref="L90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0" s="281" t="str">
        <f t="array" ref="M90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0" s="282" t="str">
        <f t="array" ref="N90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0" s="283" t="str">
        <f t="array" ref="O90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0" s="284" t="str">
        <f t="array" ref="P90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0" s="285" t="str">
        <f t="array" ref="Q90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0" s="286" t="str">
        <f t="array" ref="R90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0" s="345" t="str">
        <f t="array" ref="S90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0" s="287" t="str">
        <f t="array" ref="T90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0" s="282" t="str">
        <f t="array" ref="U90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0" s="287" t="str">
        <f t="array" ref="V90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0" s="384" t="str">
        <f t="array" ref="W90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0" s="261"/>
      <c r="BL90" s="262"/>
      <c r="BM90" s="263"/>
      <c r="BN90" s="262"/>
      <c r="BO90" s="263"/>
      <c r="BZ90" s="310"/>
      <c r="CA90" s="297" t="str">
        <f>IFERROR(IF(BZ90="","",INDEX(productData[description],MATCH(BZ90,productData[sku],0))),"")</f>
        <v/>
      </c>
      <c r="CB90" s="299"/>
      <c r="CC90" s="413"/>
      <c r="CD90" s="307"/>
      <c r="CE90" s="418"/>
      <c r="CF90" s="300"/>
      <c r="CG90" s="301" t="str">
        <f>IFERROR(ROUNDUP(CB90/INDEX(productData[units_per_carton],MATCH(BZ90,productData[sku],0)),0),"")</f>
        <v/>
      </c>
      <c r="CH90" s="302" t="str">
        <f>IFERROR(ROUNDUP(CD90/INDEX(productData[units_per_carton],MATCH(BZ90,productData[sku],0)),0),"")</f>
        <v/>
      </c>
      <c r="CI90" s="302" t="str">
        <f>IFERROR(ROUNDUP(CF90/INDEX(productData[units_per_carton],MATCH(BZ90,productData[sku])),0),"")</f>
        <v/>
      </c>
      <c r="CJ90" s="302" t="str">
        <f>IFERROR(((CB90+CD90+CF90)/INDEX(productData[units_per_carton],MATCH(BZ90,productData[sku],0)))*INDEX(productData[net_weight],MATCH(BZ90,productData[sku],0)),"")</f>
        <v/>
      </c>
      <c r="CK90" s="302" t="str">
        <f>IFERROR(((CB90+CD90+CF90)/INDEX(productData[units_per_carton],MATCH(BZ90,productData[sku],0)))*INDEX(productData[gross_weight],MATCH(BZ90,productData[sku],0)),"")</f>
        <v/>
      </c>
      <c r="CL90" s="406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03" t="str">
        <f>IFERROR(INDEX(productData[category],MATCH(BZ90,productData[sku],0)),"")</f>
        <v/>
      </c>
      <c r="CN90" s="303" t="str">
        <f>IFERROR(INDEX(productData[size1],MATCH(BZ90,productData[sku],0)),"")</f>
        <v/>
      </c>
      <c r="CO90" s="304" t="str">
        <f>IFERROR(INDEX(productData[hs_code],MATCH(BZ90,productData[sku],0)),"")</f>
        <v/>
      </c>
      <c r="CP90" s="357" t="str">
        <f>IFERROR(INDEX(productData[sku_geko],MATCH(BZ90,productData[sku],0)),"")</f>
        <v/>
      </c>
      <c r="CQ90" s="300"/>
      <c r="CR90" s="375" t="str">
        <f>IFERROR(IF(BZ90="","",IF($BX$15="SALE",INDEX(inventory[COSTO UNITARIO],MATCH(BZ90,inventory[SKU],0)),IF($BX$15="SAMPLING",INDEX(inventory[COSTO UNITARIO],MATCH(BZ90,inventory[SKU],0)),""))),"")</f>
        <v/>
      </c>
      <c r="CS90" s="375" t="str">
        <f t="shared" si="8"/>
        <v/>
      </c>
      <c r="CT90" s="422" t="str">
        <f t="shared" si="9"/>
        <v/>
      </c>
      <c r="CU90" s="349" t="str">
        <f t="shared" si="10"/>
        <v/>
      </c>
      <c r="DB90" s="246" t="str">
        <f>IFERROR(VLOOKUP(BZ90,productData[],22,FALSE),"")</f>
        <v/>
      </c>
      <c r="EE90" s="334" t="str">
        <f t="array" ref="EE90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/>
      </c>
      <c r="EF90" s="494" t="str">
        <f t="array" ref="EF90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/>
      </c>
      <c r="EG90" s="335" t="str">
        <f>IFERROR(IF('BHPC MANAGER'!$EE90="","",INDEX(inventory[ESISTENZA],MATCH('BHPC MANAGER'!$EE90,inventory[SKU],0))),0)</f>
        <v/>
      </c>
      <c r="EH90" s="336" t="s">
        <v>241</v>
      </c>
      <c r="EI90" s="336" t="str">
        <f t="shared" si="11"/>
        <v/>
      </c>
      <c r="EJ90" s="337" t="s">
        <v>241</v>
      </c>
      <c r="EK90" s="338" t="str">
        <f t="shared" si="12"/>
        <v/>
      </c>
    </row>
    <row r="91" spans="12:141" ht="15" customHeight="1" x14ac:dyDescent="0.35">
      <c r="L91" s="280" t="str">
        <f t="array" ref="L91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1" s="281" t="str">
        <f t="array" ref="M91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1" s="282" t="str">
        <f t="array" ref="N91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1" s="283" t="str">
        <f t="array" ref="O91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1" s="284" t="str">
        <f t="array" ref="P91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1" s="285" t="str">
        <f t="array" ref="Q91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1" s="286" t="str">
        <f t="array" ref="R91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1" s="345" t="str">
        <f t="array" ref="S91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1" s="287" t="str">
        <f t="array" ref="T91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1" s="282" t="str">
        <f t="array" ref="U91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1" s="287" t="str">
        <f t="array" ref="V91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1" s="384" t="str">
        <f t="array" ref="W91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1" s="261"/>
      <c r="BL91" s="262"/>
      <c r="BM91" s="263"/>
      <c r="BN91" s="262"/>
      <c r="BO91" s="263"/>
      <c r="BZ91" s="310"/>
      <c r="CA91" s="297" t="str">
        <f>IFERROR(IF(BZ91="","",INDEX(productData[description],MATCH(BZ91,productData[sku],0))),"")</f>
        <v/>
      </c>
      <c r="CB91" s="299"/>
      <c r="CC91" s="413"/>
      <c r="CD91" s="307"/>
      <c r="CE91" s="418"/>
      <c r="CF91" s="300"/>
      <c r="CG91" s="301" t="str">
        <f>IFERROR(ROUNDUP(CB91/INDEX(productData[units_per_carton],MATCH(BZ91,productData[sku],0)),0),"")</f>
        <v/>
      </c>
      <c r="CH91" s="302" t="str">
        <f>IFERROR(ROUNDUP(CD91/INDEX(productData[units_per_carton],MATCH(BZ91,productData[sku],0)),0),"")</f>
        <v/>
      </c>
      <c r="CI91" s="302" t="str">
        <f>IFERROR(ROUNDUP(CF91/INDEX(productData[units_per_carton],MATCH(BZ91,productData[sku])),0),"")</f>
        <v/>
      </c>
      <c r="CJ91" s="302" t="str">
        <f>IFERROR(((CB91+CD91+CF91)/INDEX(productData[units_per_carton],MATCH(BZ91,productData[sku],0)))*INDEX(productData[net_weight],MATCH(BZ91,productData[sku],0)),"")</f>
        <v/>
      </c>
      <c r="CK91" s="302" t="str">
        <f>IFERROR(((CB91+CD91+CF91)/INDEX(productData[units_per_carton],MATCH(BZ91,productData[sku],0)))*INDEX(productData[gross_weight],MATCH(BZ91,productData[sku],0)),"")</f>
        <v/>
      </c>
      <c r="CL91" s="406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03" t="str">
        <f>IFERROR(INDEX(productData[category],MATCH(BZ91,productData[sku],0)),"")</f>
        <v/>
      </c>
      <c r="CN91" s="303" t="str">
        <f>IFERROR(INDEX(productData[size1],MATCH(BZ91,productData[sku],0)),"")</f>
        <v/>
      </c>
      <c r="CO91" s="304" t="str">
        <f>IFERROR(INDEX(productData[hs_code],MATCH(BZ91,productData[sku],0)),"")</f>
        <v/>
      </c>
      <c r="CP91" s="357" t="str">
        <f>IFERROR(INDEX(productData[sku_geko],MATCH(BZ91,productData[sku],0)),"")</f>
        <v/>
      </c>
      <c r="CQ91" s="300"/>
      <c r="CR91" s="375" t="str">
        <f>IFERROR(IF(BZ91="","",IF($BX$15="SALE",INDEX(inventory[COSTO UNITARIO],MATCH(BZ91,inventory[SKU],0)),IF($BX$15="SAMPLING",INDEX(inventory[COSTO UNITARIO],MATCH(BZ91,inventory[SKU],0)),""))),"")</f>
        <v/>
      </c>
      <c r="CS91" s="375" t="str">
        <f t="shared" si="8"/>
        <v/>
      </c>
      <c r="CT91" s="422" t="str">
        <f t="shared" si="9"/>
        <v/>
      </c>
      <c r="CU91" s="349" t="str">
        <f t="shared" si="10"/>
        <v/>
      </c>
      <c r="DB91" s="246" t="str">
        <f>IFERROR(VLOOKUP(BZ91,productData[],22,FALSE),"")</f>
        <v/>
      </c>
      <c r="EE91" s="329" t="str">
        <f t="array" ref="EE91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/>
      </c>
      <c r="EF91" s="493" t="str">
        <f t="array" ref="EF91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/>
      </c>
      <c r="EG91" s="330" t="str">
        <f>IFERROR(IF('BHPC MANAGER'!$EE91="","",INDEX(inventory[ESISTENZA],MATCH('BHPC MANAGER'!$EE91,inventory[SKU],0))),0)</f>
        <v/>
      </c>
      <c r="EH91" s="331" t="s">
        <v>241</v>
      </c>
      <c r="EI91" s="331" t="str">
        <f t="shared" si="11"/>
        <v/>
      </c>
      <c r="EJ91" s="332" t="s">
        <v>241</v>
      </c>
      <c r="EK91" s="333" t="str">
        <f t="shared" si="12"/>
        <v/>
      </c>
    </row>
    <row r="92" spans="12:141" ht="15" customHeight="1" x14ac:dyDescent="0.35">
      <c r="L92" s="280" t="str">
        <f t="array" ref="L92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2" s="281" t="str">
        <f t="array" ref="M92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2" s="282" t="str">
        <f t="array" ref="N92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2" s="283" t="str">
        <f t="array" ref="O92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2" s="284" t="str">
        <f t="array" ref="P92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2" s="285" t="str">
        <f t="array" ref="Q92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2" s="286" t="str">
        <f t="array" ref="R92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2" s="345" t="str">
        <f t="array" ref="S92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2" s="287" t="str">
        <f t="array" ref="T92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2" s="282" t="str">
        <f t="array" ref="U92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2" s="287" t="str">
        <f t="array" ref="V92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2" s="384" t="str">
        <f t="array" ref="W92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2" s="261"/>
      <c r="BL92" s="262"/>
      <c r="BM92" s="263"/>
      <c r="BN92" s="262"/>
      <c r="BO92" s="263"/>
      <c r="BZ92" s="310"/>
      <c r="CA92" s="297" t="str">
        <f>IFERROR(IF(BZ92="","",INDEX(productData[description],MATCH(BZ92,productData[sku],0))),"")</f>
        <v/>
      </c>
      <c r="CB92" s="299"/>
      <c r="CC92" s="413"/>
      <c r="CD92" s="307"/>
      <c r="CE92" s="418"/>
      <c r="CF92" s="300"/>
      <c r="CG92" s="301" t="str">
        <f>IFERROR(ROUNDUP(CB92/INDEX(productData[units_per_carton],MATCH(BZ92,productData[sku],0)),0),"")</f>
        <v/>
      </c>
      <c r="CH92" s="302" t="str">
        <f>IFERROR(ROUNDUP(CD92/INDEX(productData[units_per_carton],MATCH(BZ92,productData[sku],0)),0),"")</f>
        <v/>
      </c>
      <c r="CI92" s="302" t="str">
        <f>IFERROR(ROUNDUP(CF92/INDEX(productData[units_per_carton],MATCH(BZ92,productData[sku])),0),"")</f>
        <v/>
      </c>
      <c r="CJ92" s="302" t="str">
        <f>IFERROR(((CB92+CD92+CF92)/INDEX(productData[units_per_carton],MATCH(BZ92,productData[sku],0)))*INDEX(productData[net_weight],MATCH(BZ92,productData[sku],0)),"")</f>
        <v/>
      </c>
      <c r="CK92" s="302" t="str">
        <f>IFERROR(((CB92+CD92+CF92)/INDEX(productData[units_per_carton],MATCH(BZ92,productData[sku],0)))*INDEX(productData[gross_weight],MATCH(BZ92,productData[sku],0)),"")</f>
        <v/>
      </c>
      <c r="CL92" s="406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03" t="str">
        <f>IFERROR(INDEX(productData[category],MATCH(BZ92,productData[sku],0)),"")</f>
        <v/>
      </c>
      <c r="CN92" s="303" t="str">
        <f>IFERROR(INDEX(productData[size1],MATCH(BZ92,productData[sku],0)),"")</f>
        <v/>
      </c>
      <c r="CO92" s="304" t="str">
        <f>IFERROR(INDEX(productData[hs_code],MATCH(BZ92,productData[sku],0)),"")</f>
        <v/>
      </c>
      <c r="CP92" s="357" t="str">
        <f>IFERROR(INDEX(productData[sku_geko],MATCH(BZ92,productData[sku],0)),"")</f>
        <v/>
      </c>
      <c r="CQ92" s="300"/>
      <c r="CR92" s="375" t="str">
        <f>IFERROR(IF(BZ92="","",IF($BX$15="SALE",INDEX(inventory[COSTO UNITARIO],MATCH(BZ92,inventory[SKU],0)),IF($BX$15="SAMPLING",INDEX(inventory[COSTO UNITARIO],MATCH(BZ92,inventory[SKU],0)),""))),"")</f>
        <v/>
      </c>
      <c r="CS92" s="375" t="str">
        <f t="shared" si="8"/>
        <v/>
      </c>
      <c r="CT92" s="422" t="str">
        <f t="shared" si="9"/>
        <v/>
      </c>
      <c r="CU92" s="349" t="str">
        <f t="shared" si="10"/>
        <v/>
      </c>
      <c r="DB92" s="246" t="str">
        <f>IFERROR(VLOOKUP(BZ92,productData[],22,FALSE),"")</f>
        <v/>
      </c>
      <c r="EE92" s="334" t="str">
        <f t="array" ref="EE92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/>
      </c>
      <c r="EF92" s="494" t="str">
        <f t="array" ref="EF92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/>
      </c>
      <c r="EG92" s="335" t="str">
        <f>IFERROR(IF('BHPC MANAGER'!$EE92="","",INDEX(inventory[ESISTENZA],MATCH('BHPC MANAGER'!$EE92,inventory[SKU],0))),0)</f>
        <v/>
      </c>
      <c r="EH92" s="336" t="s">
        <v>241</v>
      </c>
      <c r="EI92" s="336" t="str">
        <f t="shared" si="11"/>
        <v/>
      </c>
      <c r="EJ92" s="337" t="s">
        <v>241</v>
      </c>
      <c r="EK92" s="338" t="str">
        <f t="shared" si="12"/>
        <v/>
      </c>
    </row>
    <row r="93" spans="12:141" ht="15" customHeight="1" x14ac:dyDescent="0.35">
      <c r="L93" s="280" t="str">
        <f t="array" ref="L93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3" s="281" t="str">
        <f t="array" ref="M93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3" s="282" t="str">
        <f t="array" ref="N93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3" s="283" t="str">
        <f t="array" ref="O93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3" s="284" t="str">
        <f t="array" ref="P93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3" s="285" t="str">
        <f t="array" ref="Q93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3" s="286" t="str">
        <f t="array" ref="R93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3" s="345" t="str">
        <f t="array" ref="S93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3" s="287" t="str">
        <f t="array" ref="T93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3" s="282" t="str">
        <f t="array" ref="U93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3" s="287" t="str">
        <f t="array" ref="V93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3" s="384" t="str">
        <f t="array" ref="W93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3" s="261"/>
      <c r="BL93" s="262"/>
      <c r="BM93" s="263"/>
      <c r="BN93" s="262"/>
      <c r="BO93" s="263"/>
      <c r="BZ93" s="310"/>
      <c r="CA93" s="297" t="str">
        <f>IFERROR(IF(BZ93="","",INDEX(productData[description],MATCH(BZ93,productData[sku],0))),"")</f>
        <v/>
      </c>
      <c r="CB93" s="299"/>
      <c r="CC93" s="413"/>
      <c r="CD93" s="307"/>
      <c r="CE93" s="418"/>
      <c r="CF93" s="300"/>
      <c r="CG93" s="301" t="str">
        <f>IFERROR(ROUNDUP(CB93/INDEX(productData[units_per_carton],MATCH(BZ93,productData[sku],0)),0),"")</f>
        <v/>
      </c>
      <c r="CH93" s="302" t="str">
        <f>IFERROR(ROUNDUP(CD93/INDEX(productData[units_per_carton],MATCH(BZ93,productData[sku],0)),0),"")</f>
        <v/>
      </c>
      <c r="CI93" s="302" t="str">
        <f>IFERROR(ROUNDUP(CF93/INDEX(productData[units_per_carton],MATCH(BZ93,productData[sku])),0),"")</f>
        <v/>
      </c>
      <c r="CJ93" s="302" t="str">
        <f>IFERROR(((CB93+CD93+CF93)/INDEX(productData[units_per_carton],MATCH(BZ93,productData[sku],0)))*INDEX(productData[net_weight],MATCH(BZ93,productData[sku],0)),"")</f>
        <v/>
      </c>
      <c r="CK93" s="302" t="str">
        <f>IFERROR(((CB93+CD93+CF93)/INDEX(productData[units_per_carton],MATCH(BZ93,productData[sku],0)))*INDEX(productData[gross_weight],MATCH(BZ93,productData[sku],0)),"")</f>
        <v/>
      </c>
      <c r="CL93" s="406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03" t="str">
        <f>IFERROR(INDEX(productData[category],MATCH(BZ93,productData[sku],0)),"")</f>
        <v/>
      </c>
      <c r="CN93" s="303" t="str">
        <f>IFERROR(INDEX(productData[size1],MATCH(BZ93,productData[sku],0)),"")</f>
        <v/>
      </c>
      <c r="CO93" s="304" t="str">
        <f>IFERROR(INDEX(productData[hs_code],MATCH(BZ93,productData[sku],0)),"")</f>
        <v/>
      </c>
      <c r="CP93" s="357" t="str">
        <f>IFERROR(INDEX(productData[sku_geko],MATCH(BZ93,productData[sku],0)),"")</f>
        <v/>
      </c>
      <c r="CQ93" s="300"/>
      <c r="CR93" s="375" t="str">
        <f>IFERROR(IF(BZ93="","",IF($BX$15="SALE",INDEX(inventory[COSTO UNITARIO],MATCH(BZ93,inventory[SKU],0)),IF($BX$15="SAMPLING",INDEX(inventory[COSTO UNITARIO],MATCH(BZ93,inventory[SKU],0)),""))),"")</f>
        <v/>
      </c>
      <c r="CS93" s="375" t="str">
        <f t="shared" si="8"/>
        <v/>
      </c>
      <c r="CT93" s="422" t="str">
        <f t="shared" si="9"/>
        <v/>
      </c>
      <c r="CU93" s="349" t="str">
        <f t="shared" si="10"/>
        <v/>
      </c>
      <c r="DB93" s="246" t="str">
        <f>IFERROR(VLOOKUP(BZ93,productData[],22,FALSE),"")</f>
        <v/>
      </c>
      <c r="EE93" s="329" t="str">
        <f t="array" ref="EE93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/>
      </c>
      <c r="EF93" s="493" t="str">
        <f t="array" ref="EF93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/>
      </c>
      <c r="EG93" s="330" t="str">
        <f>IFERROR(IF('BHPC MANAGER'!$EE93="","",INDEX(inventory[ESISTENZA],MATCH('BHPC MANAGER'!$EE93,inventory[SKU],0))),0)</f>
        <v/>
      </c>
      <c r="EH93" s="331" t="s">
        <v>241</v>
      </c>
      <c r="EI93" s="331" t="str">
        <f t="shared" si="11"/>
        <v/>
      </c>
      <c r="EJ93" s="332" t="s">
        <v>241</v>
      </c>
      <c r="EK93" s="333" t="str">
        <f t="shared" si="12"/>
        <v/>
      </c>
    </row>
    <row r="94" spans="12:141" ht="15" customHeight="1" x14ac:dyDescent="0.35">
      <c r="L94" s="280" t="str">
        <f t="array" ref="L94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4" s="281" t="str">
        <f t="array" ref="M94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4" s="282" t="str">
        <f t="array" ref="N94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4" s="283" t="str">
        <f t="array" ref="O94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4" s="284" t="str">
        <f t="array" ref="P94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4" s="285" t="str">
        <f t="array" ref="Q94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4" s="286" t="str">
        <f t="array" ref="R94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4" s="345" t="str">
        <f t="array" ref="S94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4" s="287" t="str">
        <f t="array" ref="T94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4" s="282" t="str">
        <f t="array" ref="U94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4" s="287" t="str">
        <f t="array" ref="V94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4" s="384" t="str">
        <f t="array" ref="W94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4" s="261"/>
      <c r="BL94" s="262"/>
      <c r="BM94" s="263"/>
      <c r="BN94" s="262"/>
      <c r="BO94" s="263"/>
      <c r="BZ94" s="310"/>
      <c r="CA94" s="297" t="str">
        <f>IFERROR(IF(BZ94="","",INDEX(productData[description],MATCH(BZ94,productData[sku],0))),"")</f>
        <v/>
      </c>
      <c r="CB94" s="299"/>
      <c r="CC94" s="413"/>
      <c r="CD94" s="307"/>
      <c r="CE94" s="418"/>
      <c r="CF94" s="300"/>
      <c r="CG94" s="301" t="str">
        <f>IFERROR(ROUNDUP(CB94/INDEX(productData[units_per_carton],MATCH(BZ94,productData[sku],0)),0),"")</f>
        <v/>
      </c>
      <c r="CH94" s="302" t="str">
        <f>IFERROR(ROUNDUP(CD94/INDEX(productData[units_per_carton],MATCH(BZ94,productData[sku],0)),0),"")</f>
        <v/>
      </c>
      <c r="CI94" s="302" t="str">
        <f>IFERROR(ROUNDUP(CF94/INDEX(productData[units_per_carton],MATCH(BZ94,productData[sku])),0),"")</f>
        <v/>
      </c>
      <c r="CJ94" s="302" t="str">
        <f>IFERROR(((CB94+CD94+CF94)/INDEX(productData[units_per_carton],MATCH(BZ94,productData[sku],0)))*INDEX(productData[net_weight],MATCH(BZ94,productData[sku],0)),"")</f>
        <v/>
      </c>
      <c r="CK94" s="302" t="str">
        <f>IFERROR(((CB94+CD94+CF94)/INDEX(productData[units_per_carton],MATCH(BZ94,productData[sku],0)))*INDEX(productData[gross_weight],MATCH(BZ94,productData[sku],0)),"")</f>
        <v/>
      </c>
      <c r="CL94" s="406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03" t="str">
        <f>IFERROR(INDEX(productData[category],MATCH(BZ94,productData[sku],0)),"")</f>
        <v/>
      </c>
      <c r="CN94" s="303" t="str">
        <f>IFERROR(INDEX(productData[size1],MATCH(BZ94,productData[sku],0)),"")</f>
        <v/>
      </c>
      <c r="CO94" s="304" t="str">
        <f>IFERROR(INDEX(productData[hs_code],MATCH(BZ94,productData[sku],0)),"")</f>
        <v/>
      </c>
      <c r="CP94" s="357" t="str">
        <f>IFERROR(INDEX(productData[sku_geko],MATCH(BZ94,productData[sku],0)),"")</f>
        <v/>
      </c>
      <c r="CQ94" s="300"/>
      <c r="CR94" s="375" t="str">
        <f>IFERROR(IF(BZ94="","",IF($BX$15="SALE",INDEX(inventory[COSTO UNITARIO],MATCH(BZ94,inventory[SKU],0)),IF($BX$15="SAMPLING",INDEX(inventory[COSTO UNITARIO],MATCH(BZ94,inventory[SKU],0)),""))),"")</f>
        <v/>
      </c>
      <c r="CS94" s="375" t="str">
        <f t="shared" si="8"/>
        <v/>
      </c>
      <c r="CT94" s="422" t="str">
        <f t="shared" si="9"/>
        <v/>
      </c>
      <c r="CU94" s="349" t="str">
        <f t="shared" si="10"/>
        <v/>
      </c>
      <c r="DB94" s="246" t="str">
        <f>IFERROR(VLOOKUP(BZ94,productData[],22,FALSE),"")</f>
        <v/>
      </c>
      <c r="EE94" s="334" t="str">
        <f t="array" ref="EE94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/>
      </c>
      <c r="EF94" s="494" t="str">
        <f t="array" ref="EF94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/>
      </c>
      <c r="EG94" s="335" t="str">
        <f>IFERROR(IF('BHPC MANAGER'!$EE94="","",INDEX(inventory[ESISTENZA],MATCH('BHPC MANAGER'!$EE94,inventory[SKU],0))),0)</f>
        <v/>
      </c>
      <c r="EH94" s="336" t="s">
        <v>241</v>
      </c>
      <c r="EI94" s="336" t="str">
        <f t="shared" si="11"/>
        <v/>
      </c>
      <c r="EJ94" s="337" t="s">
        <v>241</v>
      </c>
      <c r="EK94" s="338" t="str">
        <f t="shared" si="12"/>
        <v/>
      </c>
    </row>
    <row r="95" spans="12:141" ht="15" customHeight="1" x14ac:dyDescent="0.35">
      <c r="L95" s="280" t="str">
        <f t="array" ref="L95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5" s="281" t="str">
        <f t="array" ref="M95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5" s="282" t="str">
        <f t="array" ref="N95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5" s="283" t="str">
        <f t="array" ref="O95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5" s="284" t="str">
        <f t="array" ref="P95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5" s="285" t="str">
        <f t="array" ref="Q95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5" s="286" t="str">
        <f t="array" ref="R95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5" s="345" t="str">
        <f t="array" ref="S95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5" s="287" t="str">
        <f t="array" ref="T95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5" s="282" t="str">
        <f t="array" ref="U95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5" s="287" t="str">
        <f t="array" ref="V95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5" s="384" t="str">
        <f t="array" ref="W95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5" s="261"/>
      <c r="BL95" s="262"/>
      <c r="BM95" s="263"/>
      <c r="BN95" s="262"/>
      <c r="BO95" s="263"/>
      <c r="BZ95" s="310"/>
      <c r="CA95" s="297" t="str">
        <f>IFERROR(IF(BZ95="","",INDEX(productData[description],MATCH(BZ95,productData[sku],0))),"")</f>
        <v/>
      </c>
      <c r="CB95" s="299"/>
      <c r="CC95" s="413"/>
      <c r="CD95" s="307"/>
      <c r="CE95" s="418"/>
      <c r="CF95" s="300"/>
      <c r="CG95" s="301" t="str">
        <f>IFERROR(ROUNDUP(CB95/INDEX(productData[units_per_carton],MATCH(BZ95,productData[sku],0)),0),"")</f>
        <v/>
      </c>
      <c r="CH95" s="302" t="str">
        <f>IFERROR(ROUNDUP(CD95/INDEX(productData[units_per_carton],MATCH(BZ95,productData[sku],0)),0),"")</f>
        <v/>
      </c>
      <c r="CI95" s="302" t="str">
        <f>IFERROR(ROUNDUP(CF95/INDEX(productData[units_per_carton],MATCH(BZ95,productData[sku])),0),"")</f>
        <v/>
      </c>
      <c r="CJ95" s="302" t="str">
        <f>IFERROR(((CB95+CD95+CF95)/INDEX(productData[units_per_carton],MATCH(BZ95,productData[sku],0)))*INDEX(productData[net_weight],MATCH(BZ95,productData[sku],0)),"")</f>
        <v/>
      </c>
      <c r="CK95" s="302" t="str">
        <f>IFERROR(((CB95+CD95+CF95)/INDEX(productData[units_per_carton],MATCH(BZ95,productData[sku],0)))*INDEX(productData[gross_weight],MATCH(BZ95,productData[sku],0)),"")</f>
        <v/>
      </c>
      <c r="CL95" s="406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03" t="str">
        <f>IFERROR(INDEX(productData[category],MATCH(BZ95,productData[sku],0)),"")</f>
        <v/>
      </c>
      <c r="CN95" s="303" t="str">
        <f>IFERROR(INDEX(productData[size1],MATCH(BZ95,productData[sku],0)),"")</f>
        <v/>
      </c>
      <c r="CO95" s="304" t="str">
        <f>IFERROR(INDEX(productData[hs_code],MATCH(BZ95,productData[sku],0)),"")</f>
        <v/>
      </c>
      <c r="CP95" s="357" t="str">
        <f>IFERROR(INDEX(productData[sku_geko],MATCH(BZ95,productData[sku],0)),"")</f>
        <v/>
      </c>
      <c r="CQ95" s="300"/>
      <c r="CR95" s="375" t="str">
        <f>IFERROR(IF(BZ95="","",IF($BX$15="SALE",INDEX(inventory[COSTO UNITARIO],MATCH(BZ95,inventory[SKU],0)),IF($BX$15="SAMPLING",INDEX(inventory[COSTO UNITARIO],MATCH(BZ95,inventory[SKU],0)),""))),"")</f>
        <v/>
      </c>
      <c r="CS95" s="375" t="str">
        <f t="shared" si="8"/>
        <v/>
      </c>
      <c r="CT95" s="422" t="str">
        <f t="shared" si="9"/>
        <v/>
      </c>
      <c r="CU95" s="349" t="str">
        <f t="shared" si="10"/>
        <v/>
      </c>
      <c r="DB95" s="246" t="str">
        <f>IFERROR(VLOOKUP(BZ95,productData[],22,FALSE),"")</f>
        <v/>
      </c>
      <c r="EE95" s="329" t="str">
        <f t="array" ref="EE95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/>
      </c>
      <c r="EF95" s="493" t="str">
        <f t="array" ref="EF95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/>
      </c>
      <c r="EG95" s="330" t="str">
        <f>IFERROR(IF('BHPC MANAGER'!$EE95="","",INDEX(inventory[ESISTENZA],MATCH('BHPC MANAGER'!$EE95,inventory[SKU],0))),0)</f>
        <v/>
      </c>
      <c r="EH95" s="331" t="s">
        <v>241</v>
      </c>
      <c r="EI95" s="331" t="str">
        <f t="shared" si="11"/>
        <v/>
      </c>
      <c r="EJ95" s="332" t="s">
        <v>241</v>
      </c>
      <c r="EK95" s="333" t="str">
        <f t="shared" si="12"/>
        <v/>
      </c>
    </row>
    <row r="96" spans="12:141" ht="15" customHeight="1" x14ac:dyDescent="0.35">
      <c r="L96" s="280" t="str">
        <f t="array" ref="L96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6" s="281" t="str">
        <f t="array" ref="M96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6" s="282" t="str">
        <f t="array" ref="N96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6" s="283" t="str">
        <f t="array" ref="O96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6" s="284" t="str">
        <f t="array" ref="P96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6" s="285" t="str">
        <f t="array" ref="Q96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6" s="286" t="str">
        <f t="array" ref="R96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6" s="345" t="str">
        <f t="array" ref="S96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6" s="287" t="str">
        <f t="array" ref="T96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6" s="282" t="str">
        <f t="array" ref="U96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6" s="287" t="str">
        <f t="array" ref="V96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6" s="384" t="str">
        <f t="array" ref="W96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6" s="261"/>
      <c r="BL96" s="262"/>
      <c r="BM96" s="263"/>
      <c r="BN96" s="262"/>
      <c r="BO96" s="263"/>
      <c r="BZ96" s="310"/>
      <c r="CA96" s="297" t="str">
        <f>IFERROR(IF(BZ96="","",INDEX(productData[description],MATCH(BZ96,productData[sku],0))),"")</f>
        <v/>
      </c>
      <c r="CB96" s="299"/>
      <c r="CC96" s="413"/>
      <c r="CD96" s="307"/>
      <c r="CE96" s="418"/>
      <c r="CF96" s="300"/>
      <c r="CG96" s="301" t="str">
        <f>IFERROR(ROUNDUP(CB96/INDEX(productData[units_per_carton],MATCH(BZ96,productData[sku],0)),0),"")</f>
        <v/>
      </c>
      <c r="CH96" s="302" t="str">
        <f>IFERROR(ROUNDUP(CD96/INDEX(productData[units_per_carton],MATCH(BZ96,productData[sku],0)),0),"")</f>
        <v/>
      </c>
      <c r="CI96" s="302" t="str">
        <f>IFERROR(ROUNDUP(CF96/INDEX(productData[units_per_carton],MATCH(BZ96,productData[sku])),0),"")</f>
        <v/>
      </c>
      <c r="CJ96" s="302" t="str">
        <f>IFERROR(((CB96+CD96+CF96)/INDEX(productData[units_per_carton],MATCH(BZ96,productData[sku],0)))*INDEX(productData[net_weight],MATCH(BZ96,productData[sku],0)),"")</f>
        <v/>
      </c>
      <c r="CK96" s="302" t="str">
        <f>IFERROR(((CB96+CD96+CF96)/INDEX(productData[units_per_carton],MATCH(BZ96,productData[sku],0)))*INDEX(productData[gross_weight],MATCH(BZ96,productData[sku],0)),"")</f>
        <v/>
      </c>
      <c r="CL96" s="406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03" t="str">
        <f>IFERROR(INDEX(productData[category],MATCH(BZ96,productData[sku],0)),"")</f>
        <v/>
      </c>
      <c r="CN96" s="303" t="str">
        <f>IFERROR(INDEX(productData[size1],MATCH(BZ96,productData[sku],0)),"")</f>
        <v/>
      </c>
      <c r="CO96" s="304" t="str">
        <f>IFERROR(INDEX(productData[hs_code],MATCH(BZ96,productData[sku],0)),"")</f>
        <v/>
      </c>
      <c r="CP96" s="357" t="str">
        <f>IFERROR(INDEX(productData[sku_geko],MATCH(BZ96,productData[sku],0)),"")</f>
        <v/>
      </c>
      <c r="CQ96" s="300"/>
      <c r="CR96" s="375" t="str">
        <f>IFERROR(IF(BZ96="","",IF($BX$15="SALE",INDEX(inventory[COSTO UNITARIO],MATCH(BZ96,inventory[SKU],0)),IF($BX$15="SAMPLING",INDEX(inventory[COSTO UNITARIO],MATCH(BZ96,inventory[SKU],0)),""))),"")</f>
        <v/>
      </c>
      <c r="CS96" s="375" t="str">
        <f t="shared" si="8"/>
        <v/>
      </c>
      <c r="CT96" s="422" t="str">
        <f t="shared" si="9"/>
        <v/>
      </c>
      <c r="CU96" s="349" t="str">
        <f t="shared" si="10"/>
        <v/>
      </c>
      <c r="DB96" s="246" t="str">
        <f>IFERROR(VLOOKUP(BZ96,productData[],22,FALSE),"")</f>
        <v/>
      </c>
      <c r="EE96" s="334" t="str">
        <f t="array" ref="EE96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/>
      </c>
      <c r="EF96" s="494" t="str">
        <f t="array" ref="EF96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/>
      </c>
      <c r="EG96" s="335" t="str">
        <f>IFERROR(IF('BHPC MANAGER'!$EE96="","",INDEX(inventory[ESISTENZA],MATCH('BHPC MANAGER'!$EE96,inventory[SKU],0))),0)</f>
        <v/>
      </c>
      <c r="EH96" s="336" t="s">
        <v>241</v>
      </c>
      <c r="EI96" s="336" t="str">
        <f t="shared" si="11"/>
        <v/>
      </c>
      <c r="EJ96" s="337" t="s">
        <v>241</v>
      </c>
      <c r="EK96" s="338" t="str">
        <f t="shared" si="12"/>
        <v/>
      </c>
    </row>
    <row r="97" spans="12:141" ht="15" customHeight="1" x14ac:dyDescent="0.35">
      <c r="L97" s="280" t="str">
        <f t="array" ref="L97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7" s="281" t="str">
        <f t="array" ref="M97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7" s="282" t="str">
        <f t="array" ref="N97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7" s="283" t="str">
        <f t="array" ref="O97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7" s="284" t="str">
        <f t="array" ref="P97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7" s="285" t="str">
        <f t="array" ref="Q97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7" s="286" t="str">
        <f t="array" ref="R97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7" s="345" t="str">
        <f t="array" ref="S97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7" s="287" t="str">
        <f t="array" ref="T97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7" s="282" t="str">
        <f t="array" ref="U97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7" s="287" t="str">
        <f t="array" ref="V97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7" s="384" t="str">
        <f t="array" ref="W97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7" s="261"/>
      <c r="BL97" s="262"/>
      <c r="BM97" s="263"/>
      <c r="BN97" s="262"/>
      <c r="BO97" s="263"/>
      <c r="BZ97" s="310"/>
      <c r="CA97" s="297" t="str">
        <f>IFERROR(IF(BZ97="","",INDEX(productData[description],MATCH(BZ97,productData[sku],0))),"")</f>
        <v/>
      </c>
      <c r="CB97" s="299"/>
      <c r="CC97" s="413"/>
      <c r="CD97" s="307"/>
      <c r="CE97" s="418"/>
      <c r="CF97" s="300"/>
      <c r="CG97" s="301" t="str">
        <f>IFERROR(ROUNDUP(CB97/INDEX(productData[units_per_carton],MATCH(BZ97,productData[sku],0)),0),"")</f>
        <v/>
      </c>
      <c r="CH97" s="302" t="str">
        <f>IFERROR(ROUNDUP(CD97/INDEX(productData[units_per_carton],MATCH(BZ97,productData[sku],0)),0),"")</f>
        <v/>
      </c>
      <c r="CI97" s="302" t="str">
        <f>IFERROR(ROUNDUP(CF97/INDEX(productData[units_per_carton],MATCH(BZ97,productData[sku])),0),"")</f>
        <v/>
      </c>
      <c r="CJ97" s="302" t="str">
        <f>IFERROR(((CB97+CD97+CF97)/INDEX(productData[units_per_carton],MATCH(BZ97,productData[sku],0)))*INDEX(productData[net_weight],MATCH(BZ97,productData[sku],0)),"")</f>
        <v/>
      </c>
      <c r="CK97" s="302" t="str">
        <f>IFERROR(((CB97+CD97+CF97)/INDEX(productData[units_per_carton],MATCH(BZ97,productData[sku],0)))*INDEX(productData[gross_weight],MATCH(BZ97,productData[sku],0)),"")</f>
        <v/>
      </c>
      <c r="CL97" s="406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03" t="str">
        <f>IFERROR(INDEX(productData[category],MATCH(BZ97,productData[sku],0)),"")</f>
        <v/>
      </c>
      <c r="CN97" s="303" t="str">
        <f>IFERROR(INDEX(productData[size1],MATCH(BZ97,productData[sku],0)),"")</f>
        <v/>
      </c>
      <c r="CO97" s="304" t="str">
        <f>IFERROR(INDEX(productData[hs_code],MATCH(BZ97,productData[sku],0)),"")</f>
        <v/>
      </c>
      <c r="CP97" s="357" t="str">
        <f>IFERROR(INDEX(productData[sku_geko],MATCH(BZ97,productData[sku],0)),"")</f>
        <v/>
      </c>
      <c r="CQ97" s="300"/>
      <c r="CR97" s="375" t="str">
        <f>IFERROR(IF(BZ97="","",IF($BX$15="SALE",INDEX(inventory[COSTO UNITARIO],MATCH(BZ97,inventory[SKU],0)),IF($BX$15="SAMPLING",INDEX(inventory[COSTO UNITARIO],MATCH(BZ97,inventory[SKU],0)),""))),"")</f>
        <v/>
      </c>
      <c r="CS97" s="375" t="str">
        <f t="shared" si="8"/>
        <v/>
      </c>
      <c r="CT97" s="422" t="str">
        <f t="shared" si="9"/>
        <v/>
      </c>
      <c r="CU97" s="349" t="str">
        <f t="shared" si="10"/>
        <v/>
      </c>
      <c r="DB97" s="246" t="str">
        <f>IFERROR(VLOOKUP(BZ97,productData[],22,FALSE),"")</f>
        <v/>
      </c>
      <c r="EE97" s="329" t="str">
        <f t="array" ref="EE97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/>
      </c>
      <c r="EF97" s="493" t="str">
        <f t="array" ref="EF97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/>
      </c>
      <c r="EG97" s="330" t="str">
        <f>IFERROR(IF('BHPC MANAGER'!$EE97="","",INDEX(inventory[ESISTENZA],MATCH('BHPC MANAGER'!$EE97,inventory[SKU],0))),0)</f>
        <v/>
      </c>
      <c r="EH97" s="331" t="s">
        <v>241</v>
      </c>
      <c r="EI97" s="331" t="str">
        <f t="shared" si="11"/>
        <v/>
      </c>
      <c r="EJ97" s="332" t="s">
        <v>241</v>
      </c>
      <c r="EK97" s="333" t="str">
        <f t="shared" si="12"/>
        <v/>
      </c>
    </row>
    <row r="98" spans="12:141" ht="15" customHeight="1" x14ac:dyDescent="0.35">
      <c r="L98" s="280" t="str">
        <f t="array" ref="L98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98" s="281" t="str">
        <f t="array" ref="M98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98" s="282" t="str">
        <f t="array" ref="N98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98" s="283" t="str">
        <f t="array" ref="O98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98" s="284" t="str">
        <f t="array" ref="P98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98" s="285" t="str">
        <f t="array" ref="Q98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98" s="286" t="str">
        <f t="array" ref="R98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98" s="345" t="str">
        <f t="array" ref="S98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98" s="287" t="str">
        <f t="array" ref="T98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98" s="282" t="str">
        <f t="array" ref="U98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98" s="287" t="str">
        <f t="array" ref="V98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98" s="384" t="str">
        <f t="array" ref="W98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98" s="261"/>
      <c r="BL98" s="262"/>
      <c r="BM98" s="263"/>
      <c r="BN98" s="262"/>
      <c r="BO98" s="263"/>
      <c r="BZ98" s="310"/>
      <c r="CA98" s="297" t="str">
        <f>IFERROR(IF(BZ98="","",INDEX(productData[description],MATCH(BZ98,productData[sku],0))),"")</f>
        <v/>
      </c>
      <c r="CB98" s="299"/>
      <c r="CC98" s="413"/>
      <c r="CD98" s="307"/>
      <c r="CE98" s="418"/>
      <c r="CF98" s="300"/>
      <c r="CG98" s="301" t="str">
        <f>IFERROR(ROUNDUP(CB98/INDEX(productData[units_per_carton],MATCH(BZ98,productData[sku],0)),0),"")</f>
        <v/>
      </c>
      <c r="CH98" s="302" t="str">
        <f>IFERROR(ROUNDUP(CD98/INDEX(productData[units_per_carton],MATCH(BZ98,productData[sku],0)),0),"")</f>
        <v/>
      </c>
      <c r="CI98" s="302" t="str">
        <f>IFERROR(ROUNDUP(CF98/INDEX(productData[units_per_carton],MATCH(BZ98,productData[sku])),0),"")</f>
        <v/>
      </c>
      <c r="CJ98" s="302" t="str">
        <f>IFERROR(((CB98+CD98+CF98)/INDEX(productData[units_per_carton],MATCH(BZ98,productData[sku],0)))*INDEX(productData[net_weight],MATCH(BZ98,productData[sku],0)),"")</f>
        <v/>
      </c>
      <c r="CK98" s="302" t="str">
        <f>IFERROR(((CB98+CD98+CF98)/INDEX(productData[units_per_carton],MATCH(BZ98,productData[sku],0)))*INDEX(productData[gross_weight],MATCH(BZ98,productData[sku],0)),"")</f>
        <v/>
      </c>
      <c r="CL98" s="406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03" t="str">
        <f>IFERROR(INDEX(productData[category],MATCH(BZ98,productData[sku],0)),"")</f>
        <v/>
      </c>
      <c r="CN98" s="303" t="str">
        <f>IFERROR(INDEX(productData[size1],MATCH(BZ98,productData[sku],0)),"")</f>
        <v/>
      </c>
      <c r="CO98" s="304" t="str">
        <f>IFERROR(INDEX(productData[hs_code],MATCH(BZ98,productData[sku],0)),"")</f>
        <v/>
      </c>
      <c r="CP98" s="357" t="str">
        <f>IFERROR(INDEX(productData[sku_geko],MATCH(BZ98,productData[sku],0)),"")</f>
        <v/>
      </c>
      <c r="CQ98" s="300"/>
      <c r="CR98" s="375" t="str">
        <f>IFERROR(IF(BZ98="","",IF($BX$15="SALE",INDEX(inventory[COSTO UNITARIO],MATCH(BZ98,inventory[SKU],0)),IF($BX$15="SAMPLING",INDEX(inventory[COSTO UNITARIO],MATCH(BZ98,inventory[SKU],0)),""))),"")</f>
        <v/>
      </c>
      <c r="CS98" s="375" t="str">
        <f t="shared" si="8"/>
        <v/>
      </c>
      <c r="CT98" s="422" t="str">
        <f t="shared" si="9"/>
        <v/>
      </c>
      <c r="CU98" s="349" t="str">
        <f t="shared" si="10"/>
        <v/>
      </c>
      <c r="DB98" s="246" t="str">
        <f>IFERROR(VLOOKUP(BZ98,productData[],22,FALSE),"")</f>
        <v/>
      </c>
      <c r="EE98" s="334" t="str">
        <f t="array" ref="EE98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/>
      </c>
      <c r="EF98" s="494" t="str">
        <f t="array" ref="EF98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/>
      </c>
      <c r="EG98" s="335" t="str">
        <f>IFERROR(IF('BHPC MANAGER'!$EE98="","",INDEX(inventory[ESISTENZA],MATCH('BHPC MANAGER'!$EE98,inventory[SKU],0))),0)</f>
        <v/>
      </c>
      <c r="EH98" s="336" t="s">
        <v>241</v>
      </c>
      <c r="EI98" s="336" t="str">
        <f t="shared" si="11"/>
        <v/>
      </c>
      <c r="EJ98" s="337" t="s">
        <v>241</v>
      </c>
      <c r="EK98" s="338" t="str">
        <f t="shared" si="12"/>
        <v/>
      </c>
    </row>
    <row r="99" spans="12:141" ht="15" customHeight="1" x14ac:dyDescent="0.35">
      <c r="L99" s="280" t="str">
        <f t="array" ref="L99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99" s="281" t="str">
        <f t="array" ref="M99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99" s="282" t="str">
        <f t="array" ref="N99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99" s="283" t="str">
        <f t="array" ref="O99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99" s="284" t="str">
        <f t="array" ref="P99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99" s="285" t="str">
        <f t="array" ref="Q99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99" s="286" t="str">
        <f t="array" ref="R99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99" s="345" t="str">
        <f t="array" ref="S99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99" s="287" t="str">
        <f t="array" ref="T99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99" s="282" t="str">
        <f t="array" ref="U99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99" s="287" t="str">
        <f t="array" ref="V99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99" s="384" t="str">
        <f t="array" ref="W99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99" s="261"/>
      <c r="BL99" s="262"/>
      <c r="BM99" s="263"/>
      <c r="BN99" s="262"/>
      <c r="BO99" s="263"/>
      <c r="BZ99" s="310"/>
      <c r="CA99" s="297" t="str">
        <f>IFERROR(IF(BZ99="","",INDEX(productData[description],MATCH(BZ99,productData[sku],0))),"")</f>
        <v/>
      </c>
      <c r="CB99" s="299"/>
      <c r="CC99" s="413"/>
      <c r="CD99" s="307"/>
      <c r="CE99" s="418"/>
      <c r="CF99" s="300"/>
      <c r="CG99" s="301" t="str">
        <f>IFERROR(ROUNDUP(CB99/INDEX(productData[units_per_carton],MATCH(BZ99,productData[sku],0)),0),"")</f>
        <v/>
      </c>
      <c r="CH99" s="302" t="str">
        <f>IFERROR(ROUNDUP(CD99/INDEX(productData[units_per_carton],MATCH(BZ99,productData[sku],0)),0),"")</f>
        <v/>
      </c>
      <c r="CI99" s="302" t="str">
        <f>IFERROR(ROUNDUP(CF99/INDEX(productData[units_per_carton],MATCH(BZ99,productData[sku])),0),"")</f>
        <v/>
      </c>
      <c r="CJ99" s="302" t="str">
        <f>IFERROR(((CB99+CD99+CF99)/INDEX(productData[units_per_carton],MATCH(BZ99,productData[sku],0)))*INDEX(productData[net_weight],MATCH(BZ99,productData[sku],0)),"")</f>
        <v/>
      </c>
      <c r="CK99" s="302" t="str">
        <f>IFERROR(((CB99+CD99+CF99)/INDEX(productData[units_per_carton],MATCH(BZ99,productData[sku],0)))*INDEX(productData[gross_weight],MATCH(BZ99,productData[sku],0)),"")</f>
        <v/>
      </c>
      <c r="CL99" s="406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03" t="str">
        <f>IFERROR(INDEX(productData[category],MATCH(BZ99,productData[sku],0)),"")</f>
        <v/>
      </c>
      <c r="CN99" s="303" t="str">
        <f>IFERROR(INDEX(productData[size1],MATCH(BZ99,productData[sku],0)),"")</f>
        <v/>
      </c>
      <c r="CO99" s="304" t="str">
        <f>IFERROR(INDEX(productData[hs_code],MATCH(BZ99,productData[sku],0)),"")</f>
        <v/>
      </c>
      <c r="CP99" s="357" t="str">
        <f>IFERROR(INDEX(productData[sku_geko],MATCH(BZ99,productData[sku],0)),"")</f>
        <v/>
      </c>
      <c r="CQ99" s="300"/>
      <c r="CR99" s="375" t="str">
        <f>IFERROR(IF(BZ99="","",IF($BX$15="SALE",INDEX(inventory[COSTO UNITARIO],MATCH(BZ99,inventory[SKU],0)),IF($BX$15="SAMPLING",INDEX(inventory[COSTO UNITARIO],MATCH(BZ99,inventory[SKU],0)),""))),"")</f>
        <v/>
      </c>
      <c r="CS99" s="375" t="str">
        <f t="shared" si="8"/>
        <v/>
      </c>
      <c r="CT99" s="422" t="str">
        <f t="shared" si="9"/>
        <v/>
      </c>
      <c r="CU99" s="349" t="str">
        <f t="shared" si="10"/>
        <v/>
      </c>
      <c r="DB99" s="246" t="str">
        <f>IFERROR(VLOOKUP(BZ99,productData[],22,FALSE),"")</f>
        <v/>
      </c>
      <c r="EE99" s="329" t="str">
        <f t="array" ref="EE99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/>
      </c>
      <c r="EF99" s="493" t="str">
        <f t="array" ref="EF99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/>
      </c>
      <c r="EG99" s="330" t="str">
        <f>IFERROR(IF('BHPC MANAGER'!$EE99="","",INDEX(inventory[ESISTENZA],MATCH('BHPC MANAGER'!$EE99,inventory[SKU],0))),0)</f>
        <v/>
      </c>
      <c r="EH99" s="331" t="s">
        <v>241</v>
      </c>
      <c r="EI99" s="331" t="str">
        <f t="shared" si="11"/>
        <v/>
      </c>
      <c r="EJ99" s="332" t="s">
        <v>241</v>
      </c>
      <c r="EK99" s="333" t="str">
        <f t="shared" si="12"/>
        <v/>
      </c>
    </row>
    <row r="100" spans="12:141" ht="15" customHeight="1" x14ac:dyDescent="0.35">
      <c r="L100" s="280" t="str">
        <f t="array" ref="L100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0" s="281" t="str">
        <f t="array" ref="M100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0" s="282" t="str">
        <f t="array" ref="N100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0" s="283" t="str">
        <f t="array" ref="O100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0" s="284" t="str">
        <f t="array" ref="P100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0" s="285" t="str">
        <f t="array" ref="Q100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0" s="286" t="str">
        <f t="array" ref="R100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0" s="345" t="str">
        <f t="array" ref="S100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0" s="287" t="str">
        <f t="array" ref="T100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0" s="282" t="str">
        <f t="array" ref="U100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0" s="287" t="str">
        <f t="array" ref="V100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0" s="384" t="str">
        <f t="array" ref="W100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0" s="261"/>
      <c r="BL100" s="262"/>
      <c r="BM100" s="263"/>
      <c r="BN100" s="262"/>
      <c r="BO100" s="263"/>
      <c r="BZ100" s="310"/>
      <c r="CA100" s="297" t="str">
        <f>IFERROR(IF(BZ100="","",INDEX(productData[description],MATCH(BZ100,productData[sku],0))),"")</f>
        <v/>
      </c>
      <c r="CB100" s="299"/>
      <c r="CC100" s="413"/>
      <c r="CD100" s="307"/>
      <c r="CE100" s="418"/>
      <c r="CF100" s="300"/>
      <c r="CG100" s="301" t="str">
        <f>IFERROR(ROUNDUP(CB100/INDEX(productData[units_per_carton],MATCH(BZ100,productData[sku],0)),0),"")</f>
        <v/>
      </c>
      <c r="CH100" s="302" t="str">
        <f>IFERROR(ROUNDUP(CD100/INDEX(productData[units_per_carton],MATCH(BZ100,productData[sku],0)),0),"")</f>
        <v/>
      </c>
      <c r="CI100" s="302" t="str">
        <f>IFERROR(ROUNDUP(CF100/INDEX(productData[units_per_carton],MATCH(BZ100,productData[sku])),0),"")</f>
        <v/>
      </c>
      <c r="CJ100" s="302" t="str">
        <f>IFERROR(((CB100+CD100+CF100)/INDEX(productData[units_per_carton],MATCH(BZ100,productData[sku],0)))*INDEX(productData[net_weight],MATCH(BZ100,productData[sku],0)),"")</f>
        <v/>
      </c>
      <c r="CK100" s="302" t="str">
        <f>IFERROR(((CB100+CD100+CF100)/INDEX(productData[units_per_carton],MATCH(BZ100,productData[sku],0)))*INDEX(productData[gross_weight],MATCH(BZ100,productData[sku],0)),"")</f>
        <v/>
      </c>
      <c r="CL100" s="406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03" t="str">
        <f>IFERROR(INDEX(productData[category],MATCH(BZ100,productData[sku],0)),"")</f>
        <v/>
      </c>
      <c r="CN100" s="303" t="str">
        <f>IFERROR(INDEX(productData[size1],MATCH(BZ100,productData[sku],0)),"")</f>
        <v/>
      </c>
      <c r="CO100" s="304" t="str">
        <f>IFERROR(INDEX(productData[hs_code],MATCH(BZ100,productData[sku],0)),"")</f>
        <v/>
      </c>
      <c r="CP100" s="357" t="str">
        <f>IFERROR(INDEX(productData[sku_geko],MATCH(BZ100,productData[sku],0)),"")</f>
        <v/>
      </c>
      <c r="CQ100" s="300"/>
      <c r="CR100" s="375" t="str">
        <f>IFERROR(IF(BZ100="","",IF($BX$15="SALE",INDEX(inventory[COSTO UNITARIO],MATCH(BZ100,inventory[SKU],0)),IF($BX$15="SAMPLING",INDEX(inventory[COSTO UNITARIO],MATCH(BZ100,inventory[SKU],0)),""))),"")</f>
        <v/>
      </c>
      <c r="CS100" s="375" t="str">
        <f t="shared" si="8"/>
        <v/>
      </c>
      <c r="CT100" s="422" t="str">
        <f t="shared" si="9"/>
        <v/>
      </c>
      <c r="CU100" s="349" t="str">
        <f t="shared" si="10"/>
        <v/>
      </c>
      <c r="DB100" s="246" t="str">
        <f>IFERROR(VLOOKUP(BZ100,productData[],22,FALSE),"")</f>
        <v/>
      </c>
      <c r="EE100" s="334" t="str">
        <f t="array" ref="EE100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/>
      </c>
      <c r="EF100" s="494" t="str">
        <f t="array" ref="EF100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/>
      </c>
      <c r="EG100" s="335" t="str">
        <f>IFERROR(IF('BHPC MANAGER'!$EE100="","",INDEX(inventory[ESISTENZA],MATCH('BHPC MANAGER'!$EE100,inventory[SKU],0))),0)</f>
        <v/>
      </c>
      <c r="EH100" s="336" t="s">
        <v>241</v>
      </c>
      <c r="EI100" s="336" t="str">
        <f t="shared" si="11"/>
        <v/>
      </c>
      <c r="EJ100" s="337" t="s">
        <v>241</v>
      </c>
      <c r="EK100" s="338" t="str">
        <f t="shared" si="12"/>
        <v/>
      </c>
    </row>
    <row r="101" spans="12:141" ht="15" customHeight="1" x14ac:dyDescent="0.35">
      <c r="L101" s="280" t="str">
        <f t="array" ref="L101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1" s="281" t="str">
        <f t="array" ref="M101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1" s="282" t="str">
        <f t="array" ref="N101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1" s="283" t="str">
        <f t="array" ref="O101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1" s="284" t="str">
        <f t="array" ref="P101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1" s="285" t="str">
        <f t="array" ref="Q101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1" s="286" t="str">
        <f t="array" ref="R101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1" s="345" t="str">
        <f t="array" ref="S101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1" s="287" t="str">
        <f t="array" ref="T101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1" s="282" t="str">
        <f t="array" ref="U101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1" s="287" t="str">
        <f t="array" ref="V101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1" s="384" t="str">
        <f t="array" ref="W101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1" s="261"/>
      <c r="BL101" s="262"/>
      <c r="BM101" s="263"/>
      <c r="BN101" s="262"/>
      <c r="BO101" s="263"/>
      <c r="BZ101" s="310"/>
      <c r="CA101" s="297" t="str">
        <f>IFERROR(IF(BZ101="","",INDEX(productData[description],MATCH(BZ101,productData[sku],0))),"")</f>
        <v/>
      </c>
      <c r="CB101" s="299"/>
      <c r="CC101" s="413"/>
      <c r="CD101" s="307"/>
      <c r="CE101" s="418"/>
      <c r="CF101" s="300"/>
      <c r="CG101" s="301" t="str">
        <f>IFERROR(ROUNDUP(CB101/INDEX(productData[units_per_carton],MATCH(BZ101,productData[sku],0)),0),"")</f>
        <v/>
      </c>
      <c r="CH101" s="302" t="str">
        <f>IFERROR(ROUNDUP(CD101/INDEX(productData[units_per_carton],MATCH(BZ101,productData[sku],0)),0),"")</f>
        <v/>
      </c>
      <c r="CI101" s="302" t="str">
        <f>IFERROR(ROUNDUP(CF101/INDEX(productData[units_per_carton],MATCH(BZ101,productData[sku])),0),"")</f>
        <v/>
      </c>
      <c r="CJ101" s="302" t="str">
        <f>IFERROR(((CB101+CD101+CF101)/INDEX(productData[units_per_carton],MATCH(BZ101,productData[sku],0)))*INDEX(productData[net_weight],MATCH(BZ101,productData[sku],0)),"")</f>
        <v/>
      </c>
      <c r="CK101" s="302" t="str">
        <f>IFERROR(((CB101+CD101+CF101)/INDEX(productData[units_per_carton],MATCH(BZ101,productData[sku],0)))*INDEX(productData[gross_weight],MATCH(BZ101,productData[sku],0)),"")</f>
        <v/>
      </c>
      <c r="CL101" s="406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03" t="str">
        <f>IFERROR(INDEX(productData[category],MATCH(BZ101,productData[sku],0)),"")</f>
        <v/>
      </c>
      <c r="CN101" s="303" t="str">
        <f>IFERROR(INDEX(productData[size1],MATCH(BZ101,productData[sku],0)),"")</f>
        <v/>
      </c>
      <c r="CO101" s="304" t="str">
        <f>IFERROR(INDEX(productData[hs_code],MATCH(BZ101,productData[sku],0)),"")</f>
        <v/>
      </c>
      <c r="CP101" s="357" t="str">
        <f>IFERROR(INDEX(productData[sku_geko],MATCH(BZ101,productData[sku],0)),"")</f>
        <v/>
      </c>
      <c r="CQ101" s="300"/>
      <c r="CR101" s="375" t="str">
        <f>IFERROR(IF(BZ101="","",IF($BX$15="SALE",INDEX(inventory[COSTO UNITARIO],MATCH(BZ101,inventory[SKU],0)),IF($BX$15="SAMPLING",INDEX(inventory[COSTO UNITARIO],MATCH(BZ101,inventory[SKU],0)),""))),"")</f>
        <v/>
      </c>
      <c r="CS101" s="375" t="str">
        <f t="shared" si="8"/>
        <v/>
      </c>
      <c r="CT101" s="422" t="str">
        <f t="shared" si="9"/>
        <v/>
      </c>
      <c r="CU101" s="349" t="str">
        <f t="shared" si="10"/>
        <v/>
      </c>
      <c r="DB101" s="246" t="str">
        <f>IFERROR(VLOOKUP(BZ101,productData[],22,FALSE),"")</f>
        <v/>
      </c>
      <c r="EE101" s="329" t="str">
        <f t="array" ref="EE101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/>
      </c>
      <c r="EF101" s="493" t="str">
        <f t="array" ref="EF101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/>
      </c>
      <c r="EG101" s="330" t="str">
        <f>IFERROR(IF('BHPC MANAGER'!$EE101="","",INDEX(inventory[ESISTENZA],MATCH('BHPC MANAGER'!$EE101,inventory[SKU],0))),0)</f>
        <v/>
      </c>
      <c r="EH101" s="331" t="s">
        <v>241</v>
      </c>
      <c r="EI101" s="331" t="str">
        <f t="shared" si="11"/>
        <v/>
      </c>
      <c r="EJ101" s="332" t="s">
        <v>241</v>
      </c>
      <c r="EK101" s="333" t="str">
        <f t="shared" si="12"/>
        <v/>
      </c>
    </row>
    <row r="102" spans="12:141" ht="15" customHeight="1" x14ac:dyDescent="0.35">
      <c r="L102" s="280" t="str">
        <f t="array" ref="L102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2" s="281" t="str">
        <f t="array" ref="M102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2" s="282" t="str">
        <f t="array" ref="N102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2" s="283" t="str">
        <f t="array" ref="O102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2" s="284" t="str">
        <f t="array" ref="P102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2" s="285" t="str">
        <f t="array" ref="Q102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2" s="286" t="str">
        <f t="array" ref="R102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2" s="345" t="str">
        <f t="array" ref="S102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2" s="287" t="str">
        <f t="array" ref="T102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2" s="282" t="str">
        <f t="array" ref="U102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2" s="287" t="str">
        <f t="array" ref="V102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2" s="384" t="str">
        <f t="array" ref="W102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2" s="261"/>
      <c r="BL102" s="262"/>
      <c r="BM102" s="263"/>
      <c r="BN102" s="262"/>
      <c r="BO102" s="263"/>
      <c r="BZ102" s="310"/>
      <c r="CA102" s="297" t="str">
        <f>IFERROR(IF(BZ102="","",INDEX(productData[description],MATCH(BZ102,productData[sku],0))),"")</f>
        <v/>
      </c>
      <c r="CB102" s="299"/>
      <c r="CC102" s="413"/>
      <c r="CD102" s="307"/>
      <c r="CE102" s="418"/>
      <c r="CF102" s="300"/>
      <c r="CG102" s="301" t="str">
        <f>IFERROR(ROUNDUP(CB102/INDEX(productData[units_per_carton],MATCH(BZ102,productData[sku],0)),0),"")</f>
        <v/>
      </c>
      <c r="CH102" s="302" t="str">
        <f>IFERROR(ROUNDUP(CD102/INDEX(productData[units_per_carton],MATCH(BZ102,productData[sku],0)),0),"")</f>
        <v/>
      </c>
      <c r="CI102" s="302" t="str">
        <f>IFERROR(ROUNDUP(CF102/INDEX(productData[units_per_carton],MATCH(BZ102,productData[sku])),0),"")</f>
        <v/>
      </c>
      <c r="CJ102" s="302" t="str">
        <f>IFERROR(((CB102+CD102+CF102)/INDEX(productData[units_per_carton],MATCH(BZ102,productData[sku],0)))*INDEX(productData[net_weight],MATCH(BZ102,productData[sku],0)),"")</f>
        <v/>
      </c>
      <c r="CK102" s="302" t="str">
        <f>IFERROR(((CB102+CD102+CF102)/INDEX(productData[units_per_carton],MATCH(BZ102,productData[sku],0)))*INDEX(productData[gross_weight],MATCH(BZ102,productData[sku],0)),"")</f>
        <v/>
      </c>
      <c r="CL102" s="406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03" t="str">
        <f>IFERROR(INDEX(productData[category],MATCH(BZ102,productData[sku],0)),"")</f>
        <v/>
      </c>
      <c r="CN102" s="303" t="str">
        <f>IFERROR(INDEX(productData[size1],MATCH(BZ102,productData[sku],0)),"")</f>
        <v/>
      </c>
      <c r="CO102" s="304" t="str">
        <f>IFERROR(INDEX(productData[hs_code],MATCH(BZ102,productData[sku],0)),"")</f>
        <v/>
      </c>
      <c r="CP102" s="357" t="str">
        <f>IFERROR(INDEX(productData[sku_geko],MATCH(BZ102,productData[sku],0)),"")</f>
        <v/>
      </c>
      <c r="CQ102" s="300"/>
      <c r="CR102" s="375" t="str">
        <f>IFERROR(IF(BZ102="","",IF($BX$15="SALE",INDEX(inventory[COSTO UNITARIO],MATCH(BZ102,inventory[SKU],0)),IF($BX$15="SAMPLING",INDEX(inventory[COSTO UNITARIO],MATCH(BZ102,inventory[SKU],0)),""))),"")</f>
        <v/>
      </c>
      <c r="CS102" s="375" t="str">
        <f t="shared" si="8"/>
        <v/>
      </c>
      <c r="CT102" s="422" t="str">
        <f t="shared" si="9"/>
        <v/>
      </c>
      <c r="CU102" s="349" t="str">
        <f t="shared" si="10"/>
        <v/>
      </c>
      <c r="DB102" s="246" t="str">
        <f>IFERROR(VLOOKUP(BZ102,productData[],22,FALSE),"")</f>
        <v/>
      </c>
      <c r="EE102" s="334" t="str">
        <f t="array" ref="EE102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/>
      </c>
      <c r="EF102" s="494" t="str">
        <f t="array" ref="EF102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/>
      </c>
      <c r="EG102" s="335" t="str">
        <f>IFERROR(IF('BHPC MANAGER'!$EE102="","",INDEX(inventory[ESISTENZA],MATCH('BHPC MANAGER'!$EE102,inventory[SKU],0))),0)</f>
        <v/>
      </c>
      <c r="EH102" s="336" t="s">
        <v>241</v>
      </c>
      <c r="EI102" s="336" t="str">
        <f t="shared" si="11"/>
        <v/>
      </c>
      <c r="EJ102" s="337" t="s">
        <v>241</v>
      </c>
      <c r="EK102" s="338" t="str">
        <f t="shared" si="12"/>
        <v/>
      </c>
    </row>
    <row r="103" spans="12:141" ht="15" customHeight="1" x14ac:dyDescent="0.35">
      <c r="L103" s="280" t="str">
        <f t="array" ref="L103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3" s="281" t="str">
        <f t="array" ref="M103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3" s="282" t="str">
        <f t="array" ref="N103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3" s="283" t="str">
        <f t="array" ref="O103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3" s="284" t="str">
        <f t="array" ref="P103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3" s="285" t="str">
        <f t="array" ref="Q103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3" s="286" t="str">
        <f t="array" ref="R103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3" s="345" t="str">
        <f t="array" ref="S103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3" s="287" t="str">
        <f t="array" ref="T103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3" s="282" t="str">
        <f t="array" ref="U103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3" s="287" t="str">
        <f t="array" ref="V103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3" s="384" t="str">
        <f t="array" ref="W103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3" s="261"/>
      <c r="BL103" s="262"/>
      <c r="BM103" s="263"/>
      <c r="BN103" s="262"/>
      <c r="BO103" s="263"/>
      <c r="BZ103" s="310"/>
      <c r="CA103" s="297" t="str">
        <f>IFERROR(IF(BZ103="","",INDEX(productData[description],MATCH(BZ103,productData[sku],0))),"")</f>
        <v/>
      </c>
      <c r="CB103" s="299"/>
      <c r="CC103" s="413"/>
      <c r="CD103" s="307"/>
      <c r="CE103" s="418"/>
      <c r="CF103" s="300"/>
      <c r="CG103" s="301" t="str">
        <f>IFERROR(ROUNDUP(CB103/INDEX(productData[units_per_carton],MATCH(BZ103,productData[sku],0)),0),"")</f>
        <v/>
      </c>
      <c r="CH103" s="302" t="str">
        <f>IFERROR(ROUNDUP(CD103/INDEX(productData[units_per_carton],MATCH(BZ103,productData[sku],0)),0),"")</f>
        <v/>
      </c>
      <c r="CI103" s="302" t="str">
        <f>IFERROR(ROUNDUP(CF103/INDEX(productData[units_per_carton],MATCH(BZ103,productData[sku])),0),"")</f>
        <v/>
      </c>
      <c r="CJ103" s="302" t="str">
        <f>IFERROR(((CB103+CD103+CF103)/INDEX(productData[units_per_carton],MATCH(BZ103,productData[sku],0)))*INDEX(productData[net_weight],MATCH(BZ103,productData[sku],0)),"")</f>
        <v/>
      </c>
      <c r="CK103" s="302" t="str">
        <f>IFERROR(((CB103+CD103+CF103)/INDEX(productData[units_per_carton],MATCH(BZ103,productData[sku],0)))*INDEX(productData[gross_weight],MATCH(BZ103,productData[sku],0)),"")</f>
        <v/>
      </c>
      <c r="CL103" s="406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03" t="str">
        <f>IFERROR(INDEX(productData[category],MATCH(BZ103,productData[sku],0)),"")</f>
        <v/>
      </c>
      <c r="CN103" s="303" t="str">
        <f>IFERROR(INDEX(productData[size1],MATCH(BZ103,productData[sku],0)),"")</f>
        <v/>
      </c>
      <c r="CO103" s="304" t="str">
        <f>IFERROR(INDEX(productData[hs_code],MATCH(BZ103,productData[sku],0)),"")</f>
        <v/>
      </c>
      <c r="CP103" s="357" t="str">
        <f>IFERROR(INDEX(productData[sku_geko],MATCH(BZ103,productData[sku],0)),"")</f>
        <v/>
      </c>
      <c r="CQ103" s="300"/>
      <c r="CR103" s="375" t="str">
        <f>IFERROR(IF(BZ103="","",IF($BX$15="SALE",INDEX(inventory[COSTO UNITARIO],MATCH(BZ103,inventory[SKU],0)),IF($BX$15="SAMPLING",INDEX(inventory[COSTO UNITARIO],MATCH(BZ103,inventory[SKU],0)),""))),"")</f>
        <v/>
      </c>
      <c r="CS103" s="375" t="str">
        <f t="shared" si="8"/>
        <v/>
      </c>
      <c r="CT103" s="422" t="str">
        <f t="shared" si="9"/>
        <v/>
      </c>
      <c r="CU103" s="349" t="str">
        <f t="shared" si="10"/>
        <v/>
      </c>
      <c r="DB103" s="246" t="str">
        <f>IFERROR(VLOOKUP(BZ103,productData[],22,FALSE),"")</f>
        <v/>
      </c>
      <c r="EE103" s="329" t="str">
        <f t="array" ref="EE103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/>
      </c>
      <c r="EF103" s="493" t="str">
        <f t="array" ref="EF103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/>
      </c>
      <c r="EG103" s="330" t="str">
        <f>IFERROR(IF('BHPC MANAGER'!$EE103="","",INDEX(inventory[ESISTENZA],MATCH('BHPC MANAGER'!$EE103,inventory[SKU],0))),0)</f>
        <v/>
      </c>
      <c r="EH103" s="331" t="s">
        <v>241</v>
      </c>
      <c r="EI103" s="331" t="str">
        <f t="shared" si="11"/>
        <v/>
      </c>
      <c r="EJ103" s="332" t="s">
        <v>241</v>
      </c>
      <c r="EK103" s="333" t="str">
        <f t="shared" si="12"/>
        <v/>
      </c>
    </row>
    <row r="104" spans="12:141" ht="15" customHeight="1" x14ac:dyDescent="0.35">
      <c r="L104" s="280" t="str">
        <f t="array" ref="L104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4" s="281" t="str">
        <f t="array" ref="M104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4" s="282" t="str">
        <f t="array" ref="N104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4" s="283" t="str">
        <f t="array" ref="O104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4" s="284" t="str">
        <f t="array" ref="P104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4" s="285" t="str">
        <f t="array" ref="Q104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4" s="286" t="str">
        <f t="array" ref="R104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4" s="345" t="str">
        <f t="array" ref="S104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4" s="287" t="str">
        <f t="array" ref="T104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4" s="282" t="str">
        <f t="array" ref="U104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4" s="287" t="str">
        <f t="array" ref="V104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4" s="384" t="str">
        <f t="array" ref="W104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4" s="261"/>
      <c r="BL104" s="262"/>
      <c r="BM104" s="263"/>
      <c r="BN104" s="262"/>
      <c r="BO104" s="263"/>
      <c r="BZ104" s="310"/>
      <c r="CA104" s="297" t="str">
        <f>IFERROR(IF(BZ104="","",INDEX(productData[description],MATCH(BZ104,productData[sku],0))),"")</f>
        <v/>
      </c>
      <c r="CB104" s="299"/>
      <c r="CC104" s="413"/>
      <c r="CD104" s="307"/>
      <c r="CE104" s="418"/>
      <c r="CF104" s="300"/>
      <c r="CG104" s="301" t="str">
        <f>IFERROR(ROUNDUP(CB104/INDEX(productData[units_per_carton],MATCH(BZ104,productData[sku],0)),0),"")</f>
        <v/>
      </c>
      <c r="CH104" s="302" t="str">
        <f>IFERROR(ROUNDUP(CD104/INDEX(productData[units_per_carton],MATCH(BZ104,productData[sku],0)),0),"")</f>
        <v/>
      </c>
      <c r="CI104" s="302" t="str">
        <f>IFERROR(ROUNDUP(CF104/INDEX(productData[units_per_carton],MATCH(BZ104,productData[sku])),0),"")</f>
        <v/>
      </c>
      <c r="CJ104" s="302" t="str">
        <f>IFERROR(((CB104+CD104+CF104)/INDEX(productData[units_per_carton],MATCH(BZ104,productData[sku],0)))*INDEX(productData[net_weight],MATCH(BZ104,productData[sku],0)),"")</f>
        <v/>
      </c>
      <c r="CK104" s="302" t="str">
        <f>IFERROR(((CB104+CD104+CF104)/INDEX(productData[units_per_carton],MATCH(BZ104,productData[sku],0)))*INDEX(productData[gross_weight],MATCH(BZ104,productData[sku],0)),"")</f>
        <v/>
      </c>
      <c r="CL104" s="406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03" t="str">
        <f>IFERROR(INDEX(productData[category],MATCH(BZ104,productData[sku],0)),"")</f>
        <v/>
      </c>
      <c r="CN104" s="303" t="str">
        <f>IFERROR(INDEX(productData[size1],MATCH(BZ104,productData[sku],0)),"")</f>
        <v/>
      </c>
      <c r="CO104" s="304" t="str">
        <f>IFERROR(INDEX(productData[hs_code],MATCH(BZ104,productData[sku],0)),"")</f>
        <v/>
      </c>
      <c r="CP104" s="357" t="str">
        <f>IFERROR(INDEX(productData[sku_geko],MATCH(BZ104,productData[sku],0)),"")</f>
        <v/>
      </c>
      <c r="CQ104" s="300"/>
      <c r="CR104" s="375" t="str">
        <f>IFERROR(IF(BZ104="","",IF($BX$15="SALE",INDEX(inventory[COSTO UNITARIO],MATCH(BZ104,inventory[SKU],0)),IF($BX$15="SAMPLING",INDEX(inventory[COSTO UNITARIO],MATCH(BZ104,inventory[SKU],0)),""))),"")</f>
        <v/>
      </c>
      <c r="CS104" s="375" t="str">
        <f t="shared" si="8"/>
        <v/>
      </c>
      <c r="CT104" s="422" t="str">
        <f t="shared" si="9"/>
        <v/>
      </c>
      <c r="CU104" s="349" t="str">
        <f t="shared" si="10"/>
        <v/>
      </c>
      <c r="DB104" s="246" t="str">
        <f>IFERROR(VLOOKUP(BZ104,productData[],22,FALSE),"")</f>
        <v/>
      </c>
      <c r="EE104" s="334" t="str">
        <f t="array" ref="EE104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/>
      </c>
      <c r="EF104" s="494" t="str">
        <f t="array" ref="EF104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/>
      </c>
      <c r="EG104" s="335" t="str">
        <f>IFERROR(IF('BHPC MANAGER'!$EE104="","",INDEX(inventory[ESISTENZA],MATCH('BHPC MANAGER'!$EE104,inventory[SKU],0))),0)</f>
        <v/>
      </c>
      <c r="EH104" s="336" t="s">
        <v>241</v>
      </c>
      <c r="EI104" s="336" t="str">
        <f t="shared" si="11"/>
        <v/>
      </c>
      <c r="EJ104" s="337" t="s">
        <v>241</v>
      </c>
      <c r="EK104" s="338" t="str">
        <f t="shared" si="12"/>
        <v/>
      </c>
    </row>
    <row r="105" spans="12:141" ht="15" customHeight="1" x14ac:dyDescent="0.35">
      <c r="L105" s="280" t="str">
        <f t="array" ref="L105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5" s="281" t="str">
        <f t="array" ref="M105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5" s="282" t="str">
        <f t="array" ref="N105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5" s="283" t="str">
        <f t="array" ref="O105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5" s="284" t="str">
        <f t="array" ref="P105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5" s="285" t="str">
        <f t="array" ref="Q105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5" s="286" t="str">
        <f t="array" ref="R105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5" s="345" t="str">
        <f t="array" ref="S105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5" s="287" t="str">
        <f t="array" ref="T105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5" s="282" t="str">
        <f t="array" ref="U105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5" s="287" t="str">
        <f t="array" ref="V105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5" s="384" t="str">
        <f t="array" ref="W105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5" s="261"/>
      <c r="BL105" s="262"/>
      <c r="BM105" s="263"/>
      <c r="BN105" s="262"/>
      <c r="BO105" s="263"/>
      <c r="BZ105" s="310"/>
      <c r="CA105" s="297" t="str">
        <f>IFERROR(IF(BZ105="","",INDEX(productData[description],MATCH(BZ105,productData[sku],0))),"")</f>
        <v/>
      </c>
      <c r="CB105" s="299"/>
      <c r="CC105" s="413"/>
      <c r="CD105" s="307"/>
      <c r="CE105" s="418"/>
      <c r="CF105" s="300"/>
      <c r="CG105" s="301" t="str">
        <f>IFERROR(ROUNDUP(CB105/INDEX(productData[units_per_carton],MATCH(BZ105,productData[sku],0)),0),"")</f>
        <v/>
      </c>
      <c r="CH105" s="302" t="str">
        <f>IFERROR(ROUNDUP(CD105/INDEX(productData[units_per_carton],MATCH(BZ105,productData[sku],0)),0),"")</f>
        <v/>
      </c>
      <c r="CI105" s="302" t="str">
        <f>IFERROR(ROUNDUP(CF105/INDEX(productData[units_per_carton],MATCH(BZ105,productData[sku])),0),"")</f>
        <v/>
      </c>
      <c r="CJ105" s="302" t="str">
        <f>IFERROR(((CB105+CD105+CF105)/INDEX(productData[units_per_carton],MATCH(BZ105,productData[sku],0)))*INDEX(productData[net_weight],MATCH(BZ105,productData[sku],0)),"")</f>
        <v/>
      </c>
      <c r="CK105" s="302" t="str">
        <f>IFERROR(((CB105+CD105+CF105)/INDEX(productData[units_per_carton],MATCH(BZ105,productData[sku],0)))*INDEX(productData[gross_weight],MATCH(BZ105,productData[sku],0)),"")</f>
        <v/>
      </c>
      <c r="CL105" s="406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03" t="str">
        <f>IFERROR(INDEX(productData[category],MATCH(BZ105,productData[sku],0)),"")</f>
        <v/>
      </c>
      <c r="CN105" s="303" t="str">
        <f>IFERROR(INDEX(productData[size1],MATCH(BZ105,productData[sku],0)),"")</f>
        <v/>
      </c>
      <c r="CO105" s="304" t="str">
        <f>IFERROR(INDEX(productData[hs_code],MATCH(BZ105,productData[sku],0)),"")</f>
        <v/>
      </c>
      <c r="CP105" s="357" t="str">
        <f>IFERROR(INDEX(productData[sku_geko],MATCH(BZ105,productData[sku],0)),"")</f>
        <v/>
      </c>
      <c r="CQ105" s="300"/>
      <c r="CR105" s="375" t="str">
        <f>IFERROR(IF(BZ105="","",IF($BX$15="SALE",INDEX(inventory[COSTO UNITARIO],MATCH(BZ105,inventory[SKU],0)),IF($BX$15="SAMPLING",INDEX(inventory[COSTO UNITARIO],MATCH(BZ105,inventory[SKU],0)),""))),"")</f>
        <v/>
      </c>
      <c r="CS105" s="375" t="str">
        <f t="shared" si="8"/>
        <v/>
      </c>
      <c r="CT105" s="422" t="str">
        <f t="shared" si="9"/>
        <v/>
      </c>
      <c r="CU105" s="349" t="str">
        <f t="shared" si="10"/>
        <v/>
      </c>
      <c r="DB105" s="246" t="str">
        <f>IFERROR(VLOOKUP(BZ105,productData[],22,FALSE),"")</f>
        <v/>
      </c>
      <c r="EE105" s="329" t="str">
        <f t="array" ref="EE105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/>
      </c>
      <c r="EF105" s="493" t="str">
        <f t="array" ref="EF105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/>
      </c>
      <c r="EG105" s="330" t="str">
        <f>IFERROR(IF('BHPC MANAGER'!$EE105="","",INDEX(inventory[ESISTENZA],MATCH('BHPC MANAGER'!$EE105,inventory[SKU],0))),0)</f>
        <v/>
      </c>
      <c r="EH105" s="331">
        <v>0</v>
      </c>
      <c r="EI105" s="331" t="str">
        <f t="shared" si="11"/>
        <v/>
      </c>
      <c r="EJ105" s="332">
        <v>0</v>
      </c>
      <c r="EK105" s="333" t="str">
        <f t="shared" si="12"/>
        <v/>
      </c>
    </row>
    <row r="106" spans="12:141" ht="15" customHeight="1" x14ac:dyDescent="0.35">
      <c r="L106" s="280" t="str">
        <f t="array" ref="L106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6" s="281" t="str">
        <f t="array" ref="M106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6" s="282" t="str">
        <f t="array" ref="N106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6" s="283" t="str">
        <f t="array" ref="O106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6" s="284" t="str">
        <f t="array" ref="P106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6" s="285" t="str">
        <f t="array" ref="Q106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6" s="286" t="str">
        <f t="array" ref="R106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6" s="345" t="str">
        <f t="array" ref="S106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6" s="287" t="str">
        <f t="array" ref="T106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6" s="282" t="str">
        <f t="array" ref="U106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6" s="287" t="str">
        <f t="array" ref="V106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6" s="384" t="str">
        <f t="array" ref="W106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6" s="261"/>
      <c r="BL106" s="262"/>
      <c r="BM106" s="263"/>
      <c r="BN106" s="262"/>
      <c r="BO106" s="263"/>
      <c r="BZ106" s="310"/>
      <c r="CA106" s="297" t="str">
        <f>IFERROR(IF(BZ106="","",INDEX(productData[description],MATCH(BZ106,productData[sku],0))),"")</f>
        <v/>
      </c>
      <c r="CB106" s="299"/>
      <c r="CC106" s="413"/>
      <c r="CD106" s="307"/>
      <c r="CE106" s="418"/>
      <c r="CF106" s="300"/>
      <c r="CG106" s="301" t="str">
        <f>IFERROR(ROUNDUP(CB106/INDEX(productData[units_per_carton],MATCH(BZ106,productData[sku],0)),0),"")</f>
        <v/>
      </c>
      <c r="CH106" s="302" t="str">
        <f>IFERROR(ROUNDUP(CD106/INDEX(productData[units_per_carton],MATCH(BZ106,productData[sku],0)),0),"")</f>
        <v/>
      </c>
      <c r="CI106" s="302" t="str">
        <f>IFERROR(ROUNDUP(CF106/INDEX(productData[units_per_carton],MATCH(BZ106,productData[sku])),0),"")</f>
        <v/>
      </c>
      <c r="CJ106" s="302" t="str">
        <f>IFERROR(((CB106+CD106+CF106)/INDEX(productData[units_per_carton],MATCH(BZ106,productData[sku],0)))*INDEX(productData[net_weight],MATCH(BZ106,productData[sku],0)),"")</f>
        <v/>
      </c>
      <c r="CK106" s="302" t="str">
        <f>IFERROR(((CB106+CD106+CF106)/INDEX(productData[units_per_carton],MATCH(BZ106,productData[sku],0)))*INDEX(productData[gross_weight],MATCH(BZ106,productData[sku],0)),"")</f>
        <v/>
      </c>
      <c r="CL106" s="406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03" t="str">
        <f>IFERROR(INDEX(productData[category],MATCH(BZ106,productData[sku],0)),"")</f>
        <v/>
      </c>
      <c r="CN106" s="303" t="str">
        <f>IFERROR(INDEX(productData[size1],MATCH(BZ106,productData[sku],0)),"")</f>
        <v/>
      </c>
      <c r="CO106" s="304" t="str">
        <f>IFERROR(INDEX(productData[hs_code],MATCH(BZ106,productData[sku],0)),"")</f>
        <v/>
      </c>
      <c r="CP106" s="357" t="str">
        <f>IFERROR(INDEX(productData[sku_geko],MATCH(BZ106,productData[sku],0)),"")</f>
        <v/>
      </c>
      <c r="CQ106" s="300"/>
      <c r="CR106" s="375" t="str">
        <f>IFERROR(IF(BZ106="","",IF($BX$15="SALE",INDEX(inventory[COSTO UNITARIO],MATCH(BZ106,inventory[SKU],0)),IF($BX$15="SAMPLING",INDEX(inventory[COSTO UNITARIO],MATCH(BZ106,inventory[SKU],0)),""))),"")</f>
        <v/>
      </c>
      <c r="CS106" s="375" t="str">
        <f t="shared" si="8"/>
        <v/>
      </c>
      <c r="CT106" s="422" t="str">
        <f t="shared" si="9"/>
        <v/>
      </c>
      <c r="CU106" s="349" t="str">
        <f t="shared" si="10"/>
        <v/>
      </c>
      <c r="DB106" s="246" t="str">
        <f>IFERROR(VLOOKUP(BZ106,productData[],22,FALSE),"")</f>
        <v/>
      </c>
      <c r="EE106" s="334" t="str">
        <f t="array" ref="EE106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/>
      </c>
      <c r="EF106" s="494" t="str">
        <f t="array" ref="EF106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/>
      </c>
      <c r="EG106" s="335" t="str">
        <f>IFERROR(IF('BHPC MANAGER'!$EE106="","",INDEX(inventory[ESISTENZA],MATCH('BHPC MANAGER'!$EE106,inventory[SKU],0))),0)</f>
        <v/>
      </c>
      <c r="EH106" s="336" t="s">
        <v>241</v>
      </c>
      <c r="EI106" s="336" t="str">
        <f t="shared" si="11"/>
        <v/>
      </c>
      <c r="EJ106" s="337" t="s">
        <v>241</v>
      </c>
      <c r="EK106" s="338" t="str">
        <f t="shared" si="12"/>
        <v/>
      </c>
    </row>
    <row r="107" spans="12:141" ht="15" customHeight="1" x14ac:dyDescent="0.35">
      <c r="L107" s="280" t="str">
        <f t="array" ref="L107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7" s="281" t="str">
        <f t="array" ref="M107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7" s="282" t="str">
        <f t="array" ref="N107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7" s="283" t="str">
        <f t="array" ref="O107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7" s="284" t="str">
        <f t="array" ref="P107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7" s="285" t="str">
        <f t="array" ref="Q107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7" s="286" t="str">
        <f t="array" ref="R107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7" s="345" t="str">
        <f t="array" ref="S107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7" s="287" t="str">
        <f t="array" ref="T107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7" s="282" t="str">
        <f t="array" ref="U107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7" s="287" t="str">
        <f t="array" ref="V107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7" s="384" t="str">
        <f t="array" ref="W107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7" s="261"/>
      <c r="BL107" s="262"/>
      <c r="BM107" s="263"/>
      <c r="BN107" s="262"/>
      <c r="BO107" s="263"/>
      <c r="BZ107" s="310"/>
      <c r="CA107" s="297" t="str">
        <f>IFERROR(IF(BZ107="","",INDEX(productData[description],MATCH(BZ107,productData[sku],0))),"")</f>
        <v/>
      </c>
      <c r="CB107" s="299"/>
      <c r="CC107" s="413"/>
      <c r="CD107" s="305"/>
      <c r="CE107" s="420"/>
      <c r="CF107" s="300"/>
      <c r="CG107" s="301" t="str">
        <f>IFERROR(ROUNDUP(CB107/INDEX(productData[units_per_carton],MATCH(BZ107,productData[sku],0)),0),"")</f>
        <v/>
      </c>
      <c r="CH107" s="302" t="str">
        <f>IFERROR(ROUNDUP(CD107/INDEX(productData[units_per_carton],MATCH(BZ107,productData[sku],0)),0),"")</f>
        <v/>
      </c>
      <c r="CI107" s="302" t="str">
        <f>IFERROR(ROUNDUP(CF107/INDEX(productData[units_per_carton],MATCH(BZ107,productData[sku])),0),"")</f>
        <v/>
      </c>
      <c r="CJ107" s="302" t="str">
        <f>IFERROR(((CB107+CD107+CF107)/INDEX(productData[units_per_carton],MATCH(BZ107,productData[sku],0)))*INDEX(productData[net_weight],MATCH(BZ107,productData[sku],0)),"")</f>
        <v/>
      </c>
      <c r="CK107" s="302" t="str">
        <f>IFERROR(((CB107+CD107+CF107)/INDEX(productData[units_per_carton],MATCH(BZ107,productData[sku],0)))*INDEX(productData[gross_weight],MATCH(BZ107,productData[sku],0)),"")</f>
        <v/>
      </c>
      <c r="CL107" s="406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03" t="str">
        <f>IFERROR(INDEX(productData[category],MATCH(BZ107,productData[sku],0)),"")</f>
        <v/>
      </c>
      <c r="CN107" s="303" t="str">
        <f>IFERROR(INDEX(productData[size1],MATCH(BZ107,productData[sku],0)),"")</f>
        <v/>
      </c>
      <c r="CO107" s="304" t="str">
        <f>IFERROR(INDEX(productData[hs_code],MATCH(BZ107,productData[sku],0)),"")</f>
        <v/>
      </c>
      <c r="CP107" s="357" t="str">
        <f>IFERROR(INDEX(productData[sku_geko],MATCH(BZ107,productData[sku],0)),"")</f>
        <v/>
      </c>
      <c r="CQ107" s="300"/>
      <c r="CR107" s="376" t="str">
        <f>IFERROR(IF(BZ107="","",IF($BX$15="SALE",INDEX(inventory[COSTO UNITARIO],MATCH(BZ107,inventory[SKU],0)),IF($BX$15="SAMPLING",INDEX(inventory[COSTO UNITARIO],MATCH(BZ107,inventory[SKU],0)),""))),"")</f>
        <v/>
      </c>
      <c r="CS107" s="375" t="str">
        <f t="shared" si="8"/>
        <v/>
      </c>
      <c r="CT107" s="422" t="str">
        <f t="shared" si="9"/>
        <v/>
      </c>
      <c r="CU107" s="349" t="str">
        <f t="shared" si="10"/>
        <v/>
      </c>
      <c r="DB107" s="246" t="str">
        <f>IFERROR(VLOOKUP(BZ107,productData[],22,FALSE),"")</f>
        <v/>
      </c>
      <c r="EE107" s="329" t="str">
        <f t="array" ref="EE107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/>
      </c>
      <c r="EF107" s="493" t="str">
        <f t="array" ref="EF107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/>
      </c>
      <c r="EG107" s="330" t="str">
        <f>IFERROR(IF('BHPC MANAGER'!$EE107="","",INDEX(inventory[ESISTENZA],MATCH('BHPC MANAGER'!$EE107,inventory[SKU],0))),0)</f>
        <v/>
      </c>
      <c r="EH107" s="331" t="s">
        <v>241</v>
      </c>
      <c r="EI107" s="331" t="str">
        <f t="shared" si="11"/>
        <v/>
      </c>
      <c r="EJ107" s="332" t="s">
        <v>241</v>
      </c>
      <c r="EK107" s="333" t="str">
        <f t="shared" si="12"/>
        <v/>
      </c>
    </row>
    <row r="108" spans="12:141" ht="15" customHeight="1" x14ac:dyDescent="0.35">
      <c r="L108" s="280" t="str">
        <f t="array" ref="L108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08" s="281" t="str">
        <f t="array" ref="M108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08" s="282" t="str">
        <f t="array" ref="N108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08" s="283" t="str">
        <f t="array" ref="O108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08" s="284" t="str">
        <f t="array" ref="P108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08" s="285" t="str">
        <f t="array" ref="Q108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08" s="286" t="str">
        <f t="array" ref="R108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08" s="345" t="str">
        <f t="array" ref="S108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08" s="287" t="str">
        <f t="array" ref="T108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08" s="282" t="str">
        <f t="array" ref="U108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08" s="287" t="str">
        <f t="array" ref="V108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08" s="384" t="str">
        <f t="array" ref="W108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08" s="261"/>
      <c r="BL108" s="262"/>
      <c r="BM108" s="263"/>
      <c r="BN108" s="262"/>
      <c r="BO108" s="263"/>
      <c r="BZ108" s="310"/>
      <c r="CA108" s="297" t="str">
        <f>IFERROR(IF(BZ108="","",INDEX(productData[description],MATCH(BZ108,productData[sku],0))),"")</f>
        <v/>
      </c>
      <c r="CB108" s="299"/>
      <c r="CC108" s="413"/>
      <c r="CD108" s="305"/>
      <c r="CE108" s="420"/>
      <c r="CF108" s="300"/>
      <c r="CG108" s="301" t="str">
        <f>IFERROR(ROUNDUP(CB108/INDEX(productData[units_per_carton],MATCH(BZ108,productData[sku],0)),0),"")</f>
        <v/>
      </c>
      <c r="CH108" s="302" t="str">
        <f>IFERROR(ROUNDUP(CD108/INDEX(productData[units_per_carton],MATCH(BZ108,productData[sku],0)),0),"")</f>
        <v/>
      </c>
      <c r="CI108" s="302" t="str">
        <f>IFERROR(ROUNDUP(CF108/INDEX(productData[units_per_carton],MATCH(BZ108,productData[sku])),0),"")</f>
        <v/>
      </c>
      <c r="CJ108" s="302" t="str">
        <f>IFERROR(((CB108+CD108+CF108)/INDEX(productData[units_per_carton],MATCH(BZ108,productData[sku],0)))*INDEX(productData[net_weight],MATCH(BZ108,productData[sku],0)),"")</f>
        <v/>
      </c>
      <c r="CK108" s="302" t="str">
        <f>IFERROR(((CB108+CD108+CF108)/INDEX(productData[units_per_carton],MATCH(BZ108,productData[sku],0)))*INDEX(productData[gross_weight],MATCH(BZ108,productData[sku],0)),"")</f>
        <v/>
      </c>
      <c r="CL108" s="406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03" t="str">
        <f>IFERROR(INDEX(productData[category],MATCH(BZ108,productData[sku],0)),"")</f>
        <v/>
      </c>
      <c r="CN108" s="303" t="str">
        <f>IFERROR(INDEX(productData[size1],MATCH(BZ108,productData[sku],0)),"")</f>
        <v/>
      </c>
      <c r="CO108" s="304" t="str">
        <f>IFERROR(INDEX(productData[hs_code],MATCH(BZ108,productData[sku],0)),"")</f>
        <v/>
      </c>
      <c r="CP108" s="357" t="str">
        <f>IFERROR(INDEX(productData[sku_geko],MATCH(BZ108,productData[sku],0)),"")</f>
        <v/>
      </c>
      <c r="CQ108" s="300"/>
      <c r="CR108" s="376" t="str">
        <f>IFERROR(IF(BZ108="","",IF($BX$15="SALE",INDEX(inventory[COSTO UNITARIO],MATCH(BZ108,inventory[SKU],0)),IF($BX$15="SAMPLING",INDEX(inventory[COSTO UNITARIO],MATCH(BZ108,inventory[SKU],0)),""))),"")</f>
        <v/>
      </c>
      <c r="CS108" s="375" t="str">
        <f t="shared" si="8"/>
        <v/>
      </c>
      <c r="CT108" s="422" t="str">
        <f t="shared" si="9"/>
        <v/>
      </c>
      <c r="CU108" s="349" t="str">
        <f t="shared" si="10"/>
        <v/>
      </c>
      <c r="DB108" s="246" t="str">
        <f>IFERROR(VLOOKUP(BZ108,productData[],22,FALSE),"")</f>
        <v/>
      </c>
      <c r="EE108" s="334" t="str">
        <f t="array" ref="EE108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/>
      </c>
      <c r="EF108" s="494" t="str">
        <f t="array" ref="EF108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/>
      </c>
      <c r="EG108" s="335" t="str">
        <f>IFERROR(IF('BHPC MANAGER'!$EE108="","",INDEX(inventory[ESISTENZA],MATCH('BHPC MANAGER'!$EE108,inventory[SKU],0))),0)</f>
        <v/>
      </c>
      <c r="EH108" s="336" t="s">
        <v>241</v>
      </c>
      <c r="EI108" s="336" t="str">
        <f t="shared" si="11"/>
        <v/>
      </c>
      <c r="EJ108" s="337" t="s">
        <v>241</v>
      </c>
      <c r="EK108" s="338" t="str">
        <f t="shared" si="12"/>
        <v/>
      </c>
    </row>
    <row r="109" spans="12:141" ht="15" customHeight="1" x14ac:dyDescent="0.35">
      <c r="L109" s="280" t="str">
        <f t="array" ref="L109">IFERROR(IF($D$9="",IF($D$11="",IF($D$13="",IF($D$15="",INDEX(orderData[customer],SMALL(MATCH(ROW(orderData[customer]),ROW(orderData[customer])),ROWS($A$15:A116)+$B$3)),INDEX(orderData[customer],SMALL(IF(ISNUMBER(MATCH(YEAR(orderData[invoice_date]),$D$15,0)),MATCH(ROW(orderData[customer]),ROW(orderData[customer])),""),ROWS($A$15:A116)+$B$3))),IF($D$15="",INDEX(orderData[customer],SMALL(IF(ISNUMBER(MATCH(orderData[order_type],$D$13,0)),MATCH(ROW(orderData[customer]),ROW(orderData[customer])),""),ROWS($A$15:A116)+$B$3)),INDEX(orderData[customer],SMALL(IF(ISNUMBER(MATCH(orderData[order_type],$D$13,0)*MATCH(YEAR(orderData[invoice_date]),$D$15,0)),MATCH(ROW(orderData[customer]),ROW(orderData[customer])),""),ROWS($A$15:A116)+$B$3)))),IF($D$13="",IF($D$15="",INDEX(orderData[customer],SMALL(IF(ISNUMBER(MATCH(orderData[status],$D$11,0)),MATCH(ROW(orderData[customer]),ROW(orderData[customer])),""),ROWS($A$15:A116)+$B$3)),INDEX(orderData[customer],SMALL(IF(ISNUMBER(MATCH(orderData[status],$D$11,0)*MATCH(YEAR(orderData[invoice_date]),$D$15,0)),MATCH(ROW(orderData[customer]),ROW(orderData[customer])),""),ROWS($A$15:A116)+$B$3))),IF($D$15="",INDEX(orderData[customer],SMALL(IF(ISNUMBER(MATCH(orderData[status],$D$11,0)*MATCH(orderData[order_type],$D$13,0)),MATCH(ROW(orderData[customer]),ROW(orderData[customer])),""),ROWS($A$15:A116)+$B$3)),INDEX(orderData[customer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er],SMALL(IF(ISNUMBER(MATCH(orderData[customer],$D$9,0)),MATCH(ROW(orderData[customer]),ROW(orderData[customer])),""),ROWS($A$15:A116)+$B$3)),INDEX(orderData[customer],SMALL(IF(ISNUMBER(MATCH(orderData[customer],$D$9,0)*MATCH(YEAR(orderData[invoice_date]),$D$15,0)),MATCH(ROW(orderData[customer]),ROW(orderData[customer])),""),ROWS($A$15:A116)+$B$3))),IF($D$15="",INDEX(orderData[customer],SMALL(IF(ISNUMBER(MATCH(orderData[customer],$D$9,0)*MATCH(orderData[order_type],$D$13,0)),MATCH(ROW(orderData[customer]),ROW(orderData[customer])),""),ROWS($A$15:A116)+$B$3)),INDEX(orderData[customer],SMALL(IF(ISNUMBER(MATCH(orderData[customer],$D$9,0)*MATCH(orderData[order_type],$D$13,0)*MATCH(YEAR(orderData[invoice_date]),$D$15,0)),MATCH(ROW(orderData[customer]),ROW(orderData[customer])),""),ROWS($A$15:A116)+$B$3)))),IF($D$13="",IF($D$15="",INDEX(orderData[customer],SMALL(IF(ISNUMBER(MATCH(orderData[customer],$D$9,0)*MATCH(orderData[status],$D$11,0)),MATCH(ROW(orderData[customer]),ROW(orderData[customer])),""),ROWS($A$15:A116)+$B$3)),INDEX(orderData[customer],SMALL(IF(ISNUMBER(MATCH(orderData[customer],$D$9,0)*MATCH(orderData[status],$D$11,0)*MATCH(YEAR(orderData[invoice_date]),$D$15,0)),MATCH(ROW(orderData[customer]),ROW(orderData[customer])),""),ROWS($A$15:A116)+$B$3))),IF($D$15="",INDEX(orderData[customer],SMALL(IF(ISNUMBER(MATCH(orderData[customer],$D$9,0)*MATCH(orderData[status],$D$11,0)*MATCH(orderData[order_type],$D$13,0)),MATCH(ROW(orderData[customer]),ROW(orderData[customer])),""),ROWS($A$15:A116)+$B$3)),INDEX(orderData[customer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M109" s="281" t="str">
        <f t="array" ref="M109">IFERROR(IF($D$9="",IF($D$11="",IF($D$13="",IF($D$15="",INDEX(orderData[order_no],SMALL(MATCH(ROW(orderData[customer]),ROW(orderData[customer])),ROWS($A$15:A116)+$B$3)),INDEX(orderData[order_no],SMALL(IF(ISNUMBER(MATCH(YEAR(orderData[invoice_date]),$D$15,0)),MATCH(ROW(orderData[customer]),ROW(orderData[customer])),""),ROWS($A$15:A116)+$B$3))),IF($D$15="",INDEX(orderData[order_no],SMALL(IF(ISNUMBER(MATCH(orderData[order_type],$D$13,0)),MATCH(ROW(orderData[customer]),ROW(orderData[customer])),""),ROWS($A$15:A116)+$B$3)),INDEX(orderData[order_no],SMALL(IF(ISNUMBER(MATCH(orderData[order_type],$D$13,0)*MATCH(YEAR(orderData[invoice_date]),$D$15,0)),MATCH(ROW(orderData[customer]),ROW(orderData[customer])),""),ROWS($A$15:A116)+$B$3)))),IF($D$13="",IF($D$15="",INDEX(orderData[order_no],SMALL(IF(ISNUMBER(MATCH(orderData[status],$D$11,0)),MATCH(ROW(orderData[customer]),ROW(orderData[customer])),""),ROWS($A$15:A116)+$B$3)),INDEX(orderData[order_no],SMALL(IF(ISNUMBER(MATCH(orderData[status],$D$11,0)*MATCH(YEAR(orderData[invoice_date]),$D$15,0)),MATCH(ROW(orderData[customer]),ROW(orderData[customer])),""),ROWS($A$15:A116)+$B$3))),IF($D$15="",INDEX(orderData[order_no],SMALL(IF(ISNUMBER(MATCH(orderData[status],$D$11,0)*MATCH(orderData[order_type],$D$13,0)),MATCH(ROW(orderData[customer]),ROW(orderData[customer])),""),ROWS($A$15:A116)+$B$3)),INDEX(orderData[order_no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no],SMALL(IF(ISNUMBER(MATCH(orderData[customer],$D$9,0)),MATCH(ROW(orderData[customer]),ROW(orderData[customer])),""),ROWS($A$15:A116)+$B$3)),INDEX(orderData[order_no],SMALL(IF(ISNUMBER(MATCH(orderData[customer],$D$9,0)*MATCH(YEAR(orderData[invoice_date]),$D$15,0)),MATCH(ROW(orderData[customer]),ROW(orderData[customer])),""),ROWS($A$15:A116)+$B$3))),IF($D$15="",INDEX(orderData[order_no],SMALL(IF(ISNUMBER(MATCH(orderData[customer],$D$9,0)*MATCH(orderData[order_type],$D$13,0)),MATCH(ROW(orderData[customer]),ROW(orderData[customer])),""),ROWS($A$15:A116)+$B$3)),INDEX(orderData[order_no],SMALL(IF(ISNUMBER(MATCH(orderData[customer],$D$9,0)*MATCH(orderData[order_type],$D$13,0)*MATCH(YEAR(orderData[invoice_date]),$D$15,0)),MATCH(ROW(orderData[customer]),ROW(orderData[customer])),""),ROWS($A$15:A116)+$B$3)))),IF($D$13="",IF($D$15="",INDEX(orderData[order_no],SMALL(IF(ISNUMBER(MATCH(orderData[customer],$D$9,0)*MATCH(orderData[status],$D$11,0)),MATCH(ROW(orderData[customer]),ROW(orderData[customer])),""),ROWS($A$15:A116)+$B$3)),INDEX(orderData[order_no],SMALL(IF(ISNUMBER(MATCH(orderData[customer],$D$9,0)*MATCH(orderData[status],$D$11,0)*MATCH(YEAR(orderData[invoice_date]),$D$15,0)),MATCH(ROW(orderData[customer]),ROW(orderData[customer])),""),ROWS($A$15:A116)+$B$3))),IF($D$15="",INDEX(orderData[order_no],SMALL(IF(ISNUMBER(MATCH(orderData[customer],$D$9,0)*MATCH(orderData[status],$D$11,0)*MATCH(orderData[order_type],$D$13,0)),MATCH(ROW(orderData[customer]),ROW(orderData[customer])),""),ROWS($A$15:A116)+$B$3)),INDEX(orderData[order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N109" s="282" t="str">
        <f t="array" ref="N109">IFERROR(IF($D$9="",IF($D$11="",IF($D$13="",IF($D$15="",INDEX(orderData[order_type],SMALL(MATCH(ROW(orderData[customer]),ROW(orderData[customer])),ROWS($A$15:A116)+$B$3)),INDEX(orderData[order_type],SMALL(IF(ISNUMBER(MATCH(YEAR(orderData[invoice_date]),$D$15,0)),MATCH(ROW(orderData[customer]),ROW(orderData[customer])),""),ROWS($A$15:A116)+$B$3))),IF($D$15="",INDEX(orderData[order_type],SMALL(IF(ISNUMBER(MATCH(orderData[order_type],$D$13,0)),MATCH(ROW(orderData[customer]),ROW(orderData[customer])),""),ROWS($A$15:A116)+$B$3)),INDEX(orderData[order_type],SMALL(IF(ISNUMBER(MATCH(orderData[order_type],$D$13,0)*MATCH(YEAR(orderData[invoice_date]),$D$15,0)),MATCH(ROW(orderData[customer]),ROW(orderData[customer])),""),ROWS($A$15:A116)+$B$3)))),IF($D$13="",IF($D$15="",INDEX(orderData[order_type],SMALL(IF(ISNUMBER(MATCH(orderData[status],$D$11,0)),MATCH(ROW(orderData[customer]),ROW(orderData[customer])),""),ROWS($A$15:A116)+$B$3)),INDEX(orderData[order_type],SMALL(IF(ISNUMBER(MATCH(orderData[status],$D$11,0)*MATCH(YEAR(orderData[invoice_date]),$D$15,0)),MATCH(ROW(orderData[customer]),ROW(orderData[customer])),""),ROWS($A$15:A116)+$B$3))),IF($D$15="",INDEX(orderData[order_type],SMALL(IF(ISNUMBER(MATCH(orderData[status],$D$11,0)*MATCH(orderData[order_type],$D$13,0)),MATCH(ROW(orderData[customer]),ROW(orderData[customer])),""),ROWS($A$15:A116)+$B$3)),INDEX(orderData[order_typ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type],SMALL(IF(ISNUMBER(MATCH(orderData[customer],$D$9,0)),MATCH(ROW(orderData[customer]),ROW(orderData[customer])),""),ROWS($A$15:A116)+$B$3)),INDEX(orderData[order_type],SMALL(IF(ISNUMBER(MATCH(orderData[customer],$D$9,0)*MATCH(YEAR(orderData[invoice_date]),$D$15,0)),MATCH(ROW(orderData[customer]),ROW(orderData[customer])),""),ROWS($A$15:A116)+$B$3))),IF($D$15="",INDEX(orderData[order_type],SMALL(IF(ISNUMBER(MATCH(orderData[customer],$D$9,0)*MATCH(orderData[order_type],$D$13,0)),MATCH(ROW(orderData[customer]),ROW(orderData[customer])),""),ROWS($A$15:A116)+$B$3)),INDEX(orderData[order_type],SMALL(IF(ISNUMBER(MATCH(orderData[customer],$D$9,0)*MATCH(orderData[order_type],$D$13,0)*MATCH(YEAR(orderData[invoice_date]),$D$15,0)),MATCH(ROW(orderData[customer]),ROW(orderData[customer])),""),ROWS($A$15:A116)+$B$3)))),IF($D$13="",IF($D$15="",INDEX(orderData[order_type],SMALL(IF(ISNUMBER(MATCH(orderData[customer],$D$9,0)*MATCH(orderData[status],$D$11,0)),MATCH(ROW(orderData[customer]),ROW(orderData[customer])),""),ROWS($A$15:A116)+$B$3)),INDEX(orderData[order_type],SMALL(IF(ISNUMBER(MATCH(orderData[customer],$D$9,0)*MATCH(orderData[status],$D$11,0)*MATCH(YEAR(orderData[invoice_date]),$D$15,0)),MATCH(ROW(orderData[customer]),ROW(orderData[customer])),""),ROWS($A$15:A116)+$B$3))),IF($D$15="",INDEX(orderData[order_type],SMALL(IF(ISNUMBER(MATCH(orderData[customer],$D$9,0)*MATCH(orderData[status],$D$11,0)*MATCH(orderData[order_type],$D$13,0)),MATCH(ROW(orderData[customer]),ROW(orderData[customer])),""),ROWS($A$15:A116)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O109" s="283" t="str">
        <f t="array" ref="O109">IFERROR(IF($D$9="",IF($D$11="",IF($D$13="",IF($D$15="",INDEX(orderData[order_date],SMALL(MATCH(ROW(orderData[customer]),ROW(orderData[customer])),ROWS($A$15:A116)+$B$3)),INDEX(orderData[order_date],SMALL(IF(ISNUMBER(MATCH(YEAR(orderData[invoice_date]),$D$15,0)),MATCH(ROW(orderData[customer]),ROW(orderData[customer])),""),ROWS($A$15:A116)+$B$3))),IF($D$15="",INDEX(orderData[order_date],SMALL(IF(ISNUMBER(MATCH(orderData[order_type],$D$13,0)),MATCH(ROW(orderData[customer]),ROW(orderData[customer])),""),ROWS($A$15:A116)+$B$3)),INDEX(orderData[order_date],SMALL(IF(ISNUMBER(MATCH(orderData[order_type],$D$13,0)*MATCH(YEAR(orderData[invoice_date]),$D$15,0)),MATCH(ROW(orderData[customer]),ROW(orderData[customer])),""),ROWS($A$15:A116)+$B$3)))),IF($D$13="",IF($D$15="",INDEX(orderData[order_date],SMALL(IF(ISNUMBER(MATCH(orderData[status],$D$11,0)),MATCH(ROW(orderData[customer]),ROW(orderData[customer])),""),ROWS($A$15:A116)+$B$3)),INDEX(orderData[order_date],SMALL(IF(ISNUMBER(MATCH(orderData[status],$D$11,0)*MATCH(YEAR(orderData[invoice_date]),$D$15,0)),MATCH(ROW(orderData[customer]),ROW(orderData[customer])),""),ROWS($A$15:A116)+$B$3))),IF($D$15="",INDEX(orderData[order_date],SMALL(IF(ISNUMBER(MATCH(orderData[status],$D$11,0)*MATCH(orderData[order_type],$D$13,0)),MATCH(ROW(orderData[customer]),ROW(orderData[customer])),""),ROWS($A$15:A116)+$B$3)),INDEX(orderData[order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date],SMALL(IF(ISNUMBER(MATCH(orderData[customer],$D$9,0)),MATCH(ROW(orderData[customer]),ROW(orderData[customer])),""),ROWS($A$15:A116)+$B$3)),INDEX(orderData[order_date],SMALL(IF(ISNUMBER(MATCH(orderData[customer],$D$9,0)*MATCH(YEAR(orderData[invoice_date]),$D$15,0)),MATCH(ROW(orderData[customer]),ROW(orderData[customer])),""),ROWS($A$15:A116)+$B$3))),IF($D$15="",INDEX(orderData[order_date],SMALL(IF(ISNUMBER(MATCH(orderData[customer],$D$9,0)*MATCH(orderData[order_type],$D$13,0)),MATCH(ROW(orderData[customer]),ROW(orderData[customer])),""),ROWS($A$15:A116)+$B$3)),INDEX(orderData[order_date],SMALL(IF(ISNUMBER(MATCH(orderData[customer],$D$9,0)*MATCH(orderData[order_type],$D$13,0)*MATCH(YEAR(orderData[invoice_date]),$D$15,0)),MATCH(ROW(orderData[customer]),ROW(orderData[customer])),""),ROWS($A$15:A116)+$B$3)))),IF($D$13="",IF($D$15="",INDEX(orderData[order_date],SMALL(IF(ISNUMBER(MATCH(orderData[customer],$D$9,0)*MATCH(orderData[status],$D$11,0)),MATCH(ROW(orderData[customer]),ROW(orderData[customer])),""),ROWS($A$15:A116)+$B$3)),INDEX(orderData[order_date],SMALL(IF(ISNUMBER(MATCH(orderData[customer],$D$9,0)*MATCH(orderData[status],$D$11,0)*MATCH(YEAR(orderData[invoice_date]),$D$15,0)),MATCH(ROW(orderData[customer]),ROW(orderData[customer])),""),ROWS($A$15:A116)+$B$3))),IF($D$15="",INDEX(orderData[order_date],SMALL(IF(ISNUMBER(MATCH(orderData[customer],$D$9,0)*MATCH(orderData[status],$D$11,0)*MATCH(orderData[order_type],$D$13,0)),MATCH(ROW(orderData[customer]),ROW(orderData[customer])),""),ROWS($A$15:A116)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P109" s="284" t="str">
        <f t="array" ref="P109">IFERROR(IF($D$9="",IF($D$11="",IF($D$13="",IF($D$15="",INDEX(orderData[invoice_no],SMALL(MATCH(ROW(orderData[customer]),ROW(orderData[customer])),ROWS($A$15:A116)+$B$3)),INDEX(orderData[invoice_no],SMALL(IF(ISNUMBER(MATCH(YEAR(orderData[invoice_date]),$D$15,0)),MATCH(ROW(orderData[customer]),ROW(orderData[customer])),""),ROWS($A$15:A116)+$B$3))),IF($D$15="",INDEX(orderData[invoice_no],SMALL(IF(ISNUMBER(MATCH(orderData[order_type],$D$13,0)),MATCH(ROW(orderData[customer]),ROW(orderData[customer])),""),ROWS($A$15:A116)+$B$3)),INDEX(orderData[invoice_no],SMALL(IF(ISNUMBER(MATCH(orderData[order_type],$D$13,0)*MATCH(YEAR(orderData[invoice_date]),$D$15,0)),MATCH(ROW(orderData[customer]),ROW(orderData[customer])),""),ROWS($A$15:A116)+$B$3)))),IF($D$13="",IF($D$15="",INDEX(orderData[invoice_no],SMALL(IF(ISNUMBER(MATCH(orderData[status],$D$11,0)),MATCH(ROW(orderData[customer]),ROW(orderData[customer])),""),ROWS($A$15:A116)+$B$3)),INDEX(orderData[invoice_no],SMALL(IF(ISNUMBER(MATCH(orderData[status],$D$11,0)*MATCH(YEAR(orderData[invoice_date]),$D$15,0)),MATCH(ROW(orderData[customer]),ROW(orderData[customer])),""),ROWS($A$15:A116)+$B$3))),IF($D$15="",INDEX(orderData[invoice_no],SMALL(IF(ISNUMBER(MATCH(orderData[status],$D$11,0)*MATCH(orderData[order_type],$D$13,0)),MATCH(ROW(orderData[customer]),ROW(orderData[customer])),""),ROWS($A$15:A116)+$B$3)),INDEX(orderData[invoice_no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no],SMALL(IF(ISNUMBER(MATCH(orderData[customer],$D$9,0)),MATCH(ROW(orderData[customer]),ROW(orderData[customer])),""),ROWS($A$15:A116)+$B$3)),INDEX(orderData[invoice_no],SMALL(IF(ISNUMBER(MATCH(orderData[customer],$D$9,0)*MATCH(YEAR(orderData[invoice_date]),$D$15,0)),MATCH(ROW(orderData[customer]),ROW(orderData[customer])),""),ROWS($A$15:A116)+$B$3))),IF($D$15="",INDEX(orderData[invoice_no],SMALL(IF(ISNUMBER(MATCH(orderData[customer],$D$9,0)*MATCH(orderData[order_type],$D$13,0)),MATCH(ROW(orderData[customer]),ROW(orderData[customer])),""),ROWS($A$15:A116)+$B$3)),INDEX(orderData[invoice_no],SMALL(IF(ISNUMBER(MATCH(orderData[customer],$D$9,0)*MATCH(orderData[order_type],$D$13,0)*MATCH(YEAR(orderData[invoice_date]),$D$15,0)),MATCH(ROW(orderData[customer]),ROW(orderData[customer])),""),ROWS($A$15:A116)+$B$3)))),IF($D$13="",IF($D$15="",INDEX(orderData[invoice_no],SMALL(IF(ISNUMBER(MATCH(orderData[customer],$D$9,0)*MATCH(orderData[status],$D$11,0)),MATCH(ROW(orderData[customer]),ROW(orderData[customer])),""),ROWS($A$15:A116)+$B$3)),INDEX(orderData[invoice_no],SMALL(IF(ISNUMBER(MATCH(orderData[customer],$D$9,0)*MATCH(orderData[status],$D$11,0)*MATCH(YEAR(orderData[invoice_date]),$D$15,0)),MATCH(ROW(orderData[customer]),ROW(orderData[customer])),""),ROWS($A$15:A116)+$B$3))),IF($D$15="",INDEX(orderData[invoice_no],SMALL(IF(ISNUMBER(MATCH(orderData[customer],$D$9,0)*MATCH(orderData[status],$D$11,0)*MATCH(orderData[order_type],$D$13,0)),MATCH(ROW(orderData[customer]),ROW(orderData[customer])),""),ROWS($A$15:A116)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Q109" s="285" t="str">
        <f t="array" ref="Q109">IFERROR(IF($D$9="",IF($D$11="",IF($D$13="",IF($D$15="",INDEX(orderData[invoice_date],SMALL(MATCH(ROW(orderData[customer]),ROW(orderData[customer])),ROWS($A$15:A116)+$B$3)),INDEX(orderData[invoice_date],SMALL(IF(ISNUMBER(MATCH(YEAR(orderData[invoice_date]),$D$15,0)),MATCH(ROW(orderData[customer]),ROW(orderData[customer])),""),ROWS($A$15:A116)+$B$3))),IF($D$15="",INDEX(orderData[invoice_date],SMALL(IF(ISNUMBER(MATCH(orderData[order_type],$D$13,0)),MATCH(ROW(orderData[customer]),ROW(orderData[customer])),""),ROWS($A$15:A116)+$B$3)),INDEX(orderData[invoice_date],SMALL(IF(ISNUMBER(MATCH(orderData[order_type],$D$13,0)*MATCH(YEAR(orderData[invoice_date]),$D$15,0)),MATCH(ROW(orderData[customer]),ROW(orderData[customer])),""),ROWS($A$15:A116)+$B$3)))),IF($D$13="",IF($D$15="",INDEX(orderData[invoice_date],SMALL(IF(ISNUMBER(MATCH(orderData[status],$D$11,0)),MATCH(ROW(orderData[customer]),ROW(orderData[customer])),""),ROWS($A$15:A116)+$B$3)),INDEX(orderData[invoice_date],SMALL(IF(ISNUMBER(MATCH(orderData[status],$D$11,0)*MATCH(YEAR(orderData[invoice_date]),$D$15,0)),MATCH(ROW(orderData[customer]),ROW(orderData[customer])),""),ROWS($A$15:A116)+$B$3))),IF($D$15="",INDEX(orderData[invoice_date],SMALL(IF(ISNUMBER(MATCH(orderData[status],$D$11,0)*MATCH(orderData[order_type],$D$13,0)),MATCH(ROW(orderData[customer]),ROW(orderData[customer])),""),ROWS($A$15:A116)+$B$3)),INDEX(orderData[invoice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date],SMALL(IF(ISNUMBER(MATCH(orderData[customer],$D$9,0)),MATCH(ROW(orderData[customer]),ROW(orderData[customer])),""),ROWS($A$15:A116)+$B$3)),INDEX(orderData[invoice_date],SMALL(IF(ISNUMBER(MATCH(orderData[customer],$D$9,0)*MATCH(YEAR(orderData[invoice_date]),$D$15,0)),MATCH(ROW(orderData[customer]),ROW(orderData[customer])),""),ROWS($A$15:A116)+$B$3))),IF($D$15="",INDEX(orderData[invoice_date],SMALL(IF(ISNUMBER(MATCH(orderData[customer],$D$9,0)*MATCH(orderData[order_type],$D$13,0)),MATCH(ROW(orderData[customer]),ROW(orderData[customer])),""),ROWS($A$15:A116)+$B$3)),INDEX(orderData[invoice_date],SMALL(IF(ISNUMBER(MATCH(orderData[customer],$D$9,0)*MATCH(orderData[order_type],$D$13,0)*MATCH(YEAR(orderData[invoice_date]),$D$15,0)),MATCH(ROW(orderData[customer]),ROW(orderData[customer])),""),ROWS($A$15:A116)+$B$3)))),IF($D$13="",IF($D$15="",INDEX(orderData[invoice_date],SMALL(IF(ISNUMBER(MATCH(orderData[customer],$D$9,0)*MATCH(orderData[status],$D$11,0)),MATCH(ROW(orderData[customer]),ROW(orderData[customer])),""),ROWS($A$15:A116)+$B$3)),INDEX(orderData[invoice_date],SMALL(IF(ISNUMBER(MATCH(orderData[customer],$D$9,0)*MATCH(orderData[status],$D$11,0)*MATCH(YEAR(orderData[invoice_date]),$D$15,0)),MATCH(ROW(orderData[customer]),ROW(orderData[customer])),""),ROWS($A$15:A116)+$B$3))),IF($D$15="",INDEX(orderData[invoice_date],SMALL(IF(ISNUMBER(MATCH(orderData[customer],$D$9,0)*MATCH(orderData[status],$D$11,0)*MATCH(orderData[order_type],$D$13,0)),MATCH(ROW(orderData[customer]),ROW(orderData[customer])),""),ROWS($A$15:A116)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R109" s="286" t="str">
        <f t="array" ref="R109">IFERROR(IF($D$9="",IF($D$11="",IF($D$13="",IF($D$15="",INDEX(orderData[inv_amount],SMALL(MATCH(ROW(orderData[customer]),ROW(orderData[customer])),ROWS($A$15:A116)+$B$3)),INDEX(orderData[inv_amount],SMALL(IF(ISNUMBER(MATCH(YEAR(orderData[invoice_date]),$D$15,0)),MATCH(ROW(orderData[customer]),ROW(orderData[customer])),""),ROWS($A$15:A116)+$B$3))),IF($D$15="",INDEX(orderData[inv_amount],SMALL(IF(ISNUMBER(MATCH(orderData[order_type],$D$13,0)),MATCH(ROW(orderData[customer]),ROW(orderData[customer])),""),ROWS($A$15:A116)+$B$3)),INDEX(orderData[inv_amount],SMALL(IF(ISNUMBER(MATCH(orderData[order_type],$D$13,0)*MATCH(YEAR(orderData[invoice_date]),$D$15,0)),MATCH(ROW(orderData[customer]),ROW(orderData[customer])),""),ROWS($A$15:A116)+$B$3)))),IF($D$13="",IF($D$15="",INDEX(orderData[inv_amount],SMALL(IF(ISNUMBER(MATCH(orderData[status],$D$11,0)),MATCH(ROW(orderData[customer]),ROW(orderData[customer])),""),ROWS($A$15:A116)+$B$3)),INDEX(orderData[inv_amount],SMALL(IF(ISNUMBER(MATCH(orderData[status],$D$11,0)*MATCH(YEAR(orderData[invoice_date]),$D$15,0)),MATCH(ROW(orderData[customer]),ROW(orderData[customer])),""),ROWS($A$15:A116)+$B$3))),IF($D$15="",INDEX(orderData[inv_amount],SMALL(IF(ISNUMBER(MATCH(orderData[status],$D$11,0)*MATCH(orderData[order_type],$D$13,0)),MATCH(ROW(orderData[customer]),ROW(orderData[customer])),""),ROWS($A$15:A116)+$B$3)),INDEX(orderData[inv_amount],SMALL(IF(ISNUMBER(MATCH(orderData[status],$D$11,0)*MATCH(orderData[order_type],$D$13,0)*MATCH(YEAR(orderData[invoice_date]),$D$15,0)),MATCH(ROW(orderData[customer]),ROW(orderData[customer])),""),ROWS($A$15:A116)+$B$3))))),IF($D$11="",IF($D$13="",IF($D$15="",INDEX(orderData[inv_amount],SMALL(IF(ISNUMBER(MATCH(orderData[customer],$D$9,0)),MATCH(ROW(orderData[customer]),ROW(orderData[customer])),""),ROWS($A$15:A116)+$B$3)),INDEX(orderData[inv_amount],SMALL(IF(ISNUMBER(MATCH(orderData[customer],$D$9,0)*MATCH(YEAR(orderData[invoice_date]),$D$15,0)),MATCH(ROW(orderData[customer]),ROW(orderData[customer])),""),ROWS($A$15:A116)+$B$3))),IF($D$15="",INDEX(orderData[inv_amount],SMALL(IF(ISNUMBER(MATCH(orderData[customer],$D$9,0)*MATCH(orderData[order_type],$D$13,0)),MATCH(ROW(orderData[customer]),ROW(orderData[customer])),""),ROWS($A$15:A116)+$B$3)),INDEX(orderData[inv_amount],SMALL(IF(ISNUMBER(MATCH(orderData[customer],$D$9,0)*MATCH(orderData[order_type],$D$13,0)*MATCH(YEAR(orderData[invoice_date]),$D$15,0)),MATCH(ROW(orderData[customer]),ROW(orderData[customer])),""),ROWS($A$15:A116)+$B$3)))),IF($D$13="",IF($D$15="",INDEX(orderData[inv_amount],SMALL(IF(ISNUMBER(MATCH(orderData[customer],$D$9,0)*MATCH(orderData[status],$D$11,0)),MATCH(ROW(orderData[customer]),ROW(orderData[customer])),""),ROWS($A$15:A116)+$B$3)),INDEX(orderData[inv_amount],SMALL(IF(ISNUMBER(MATCH(orderData[customer],$D$9,0)*MATCH(orderData[status],$D$11,0)*MATCH(YEAR(orderData[inv_amount]),$D$15,0)),MATCH(ROW(orderData[customer]),ROW(orderData[customer])),""),ROWS($A$15:A116)+$B$3))),IF($D$15="",INDEX(orderData[inv_amount],SMALL(IF(ISNUMBER(MATCH(orderData[customer],$D$9,0)*MATCH(orderData[status],$D$11,0)*MATCH(orderData[order_type],$D$13,0)),MATCH(ROW(orderData[customer]),ROW(orderData[customer])),""),ROWS($A$15:A116)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S109" s="345" t="str">
        <f t="array" ref="S109">IFERROR(IF($D$9="",IF($D$11="",IF($D$13="",IF($D$15="",INDEX(orderData[lock_goods],SMALL(MATCH(ROW(orderData[customer]),ROW(orderData[customer])),ROWS($A$15:A116)+$B$3)),INDEX(orderData[lock_goods],SMALL(IF(ISNUMBER(MATCH(YEAR(orderData[invoice_date]),$D$15,0)),MATCH(ROW(orderData[customer]),ROW(orderData[customer])),""),ROWS($A$15:A116)+$B$3))),IF($D$15="",INDEX(orderData[lock_goods],SMALL(IF(ISNUMBER(MATCH(orderData[order_type],$D$13,0)),MATCH(ROW(orderData[customer]),ROW(orderData[customer])),""),ROWS($A$15:A116)+$B$3)),INDEX(orderData[lock_goods],SMALL(IF(ISNUMBER(MATCH(orderData[order_type],$D$13,0)*MATCH(YEAR(orderData[invoice_date]),$D$15,0)),MATCH(ROW(orderData[customer]),ROW(orderData[customer])),""),ROWS($A$15:A116)+$B$3)))),IF($D$13="",IF($D$15="",INDEX(orderData[lock_goods],SMALL(IF(ISNUMBER(MATCH(orderData[status],$D$11,0)),MATCH(ROW(orderData[customer]),ROW(orderData[customer])),""),ROWS($A$15:A116)+$B$3)),INDEX(orderData[lock_goods],SMALL(IF(ISNUMBER(MATCH(orderData[status],$D$11,0)*MATCH(YEAR(orderData[invoice_date]),$D$15,0)),MATCH(ROW(orderData[customer]),ROW(orderData[customer])),""),ROWS($A$15:A116)+$B$3))),IF($D$15="",INDEX(orderData[lock_goods],SMALL(IF(ISNUMBER(MATCH(orderData[status],$D$11,0)*MATCH(orderData[order_type],$D$13,0)),MATCH(ROW(orderData[customer]),ROW(orderData[customer])),""),ROWS($A$15:A116)+$B$3)),INDEX(orderData[lock_goods],SMALL(IF(ISNUMBER(MATCH(orderData[status],$D$11,0)*MATCH(orderData[order_type],$D$13,0)*MATCH(YEAR(orderData[invoice_date]),$D$15,0)),MATCH(ROW(orderData[customer]),ROW(orderData[customer])),""),ROWS($A$15:A116)+$B$3))))),IF($D$11="",IF($D$13="",IF($D$15="",INDEX(orderData[lock_goods],SMALL(IF(ISNUMBER(MATCH(orderData[customer],$D$9,0)),MATCH(ROW(orderData[customer]),ROW(orderData[customer])),""),ROWS($A$15:A116)+$B$3)),INDEX(orderData[lock_goods],SMALL(IF(ISNUMBER(MATCH(orderData[customer],$D$9,0)*MATCH(YEAR(orderData[invoice_date]),$D$15,0)),MATCH(ROW(orderData[customer]),ROW(orderData[customer])),""),ROWS($A$15:A116)+$B$3))),IF($D$15="",INDEX(orderData[lock_goods],SMALL(IF(ISNUMBER(MATCH(orderData[customer],$D$9,0)*MATCH(orderData[order_type],$D$13,0)),MATCH(ROW(orderData[customer]),ROW(orderData[customer])),""),ROWS($A$15:A116)+$B$3)),INDEX(orderData[lock_goods],SMALL(IF(ISNUMBER(MATCH(orderData[customer],$D$9,0)*MATCH(orderData[order_type],$D$13,0)*MATCH(YEAR(orderData[invoice_date]),$D$15,0)),MATCH(ROW(orderData[customer]),ROW(orderData[customer])),""),ROWS($A$15:A116)+$B$3)))),IF($D$13="",IF($D$15="",INDEX(orderData[lock_goods],SMALL(IF(ISNUMBER(MATCH(orderData[customer],$D$9,0)*MATCH(orderData[status],$D$11,0)),MATCH(ROW(orderData[customer]),ROW(orderData[customer])),""),ROWS($A$15:A116)+$B$3)),INDEX(orderData[lock_goods],SMALL(IF(ISNUMBER(MATCH(orderData[customer],$D$9,0)*MATCH(orderData[status],$D$11,0)*MATCH(YEAR(orderData[payed]),$D$15,0)),MATCH(ROW(orderData[customer]),ROW(orderData[customer])),""),ROWS($A$15:A116)+$B$3))),IF($D$15="",INDEX(orderData[lock_goods],SMALL(IF(ISNUMBER(MATCH(orderData[customer],$D$9,0)*MATCH(orderData[status],$D$11,0)*MATCH(orderData[order_type],$D$13,0)),MATCH(ROW(orderData[customer]),ROW(orderData[customer])),""),ROWS($A$15:A116)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T109" s="287" t="str">
        <f t="array" ref="T109">IFERROR(IF($D$9="",IF($D$11="",IF($D$13="",IF($D$15="",INDEX(orderData[payed],SMALL(MATCH(ROW(orderData[customer]),ROW(orderData[customer])),ROWS($A$15:A116)+$B$3)),INDEX(orderData[payed],SMALL(IF(ISNUMBER(MATCH(YEAR(orderData[invoice_date]),$D$15,0)),MATCH(ROW(orderData[customer]),ROW(orderData[customer])),""),ROWS($A$15:A116)+$B$3))),IF($D$15="",INDEX(orderData[payed],SMALL(IF(ISNUMBER(MATCH(orderData[order_type],$D$13,0)),MATCH(ROW(orderData[customer]),ROW(orderData[customer])),""),ROWS($A$15:A116)+$B$3)),INDEX(orderData[payed],SMALL(IF(ISNUMBER(MATCH(orderData[order_type],$D$13,0)*MATCH(YEAR(orderData[invoice_date]),$D$15,0)),MATCH(ROW(orderData[customer]),ROW(orderData[customer])),""),ROWS($A$15:A116)+$B$3)))),IF($D$13="",IF($D$15="",INDEX(orderData[payed],SMALL(IF(ISNUMBER(MATCH(orderData[status],$D$11,0)),MATCH(ROW(orderData[customer]),ROW(orderData[customer])),""),ROWS($A$15:A116)+$B$3)),INDEX(orderData[payed],SMALL(IF(ISNUMBER(MATCH(orderData[status],$D$11,0)*MATCH(YEAR(orderData[invoice_date]),$D$15,0)),MATCH(ROW(orderData[customer]),ROW(orderData[customer])),""),ROWS($A$15:A116)+$B$3))),IF($D$15="",INDEX(orderData[payed],SMALL(IF(ISNUMBER(MATCH(orderData[status],$D$11,0)*MATCH(orderData[order_type],$D$13,0)),MATCH(ROW(orderData[customer]),ROW(orderData[customer])),""),ROWS($A$15:A116)+$B$3)),INDEX(orderData[payed],SMALL(IF(ISNUMBER(MATCH(orderData[status],$D$11,0)*MATCH(orderData[order_type],$D$13,0)*MATCH(YEAR(orderData[invoice_date]),$D$15,0)),MATCH(ROW(orderData[customer]),ROW(orderData[customer])),""),ROWS($A$15:A116)+$B$3))))),IF($D$11="",IF($D$13="",IF($D$15="",INDEX(orderData[payed],SMALL(IF(ISNUMBER(MATCH(orderData[customer],$D$9,0)),MATCH(ROW(orderData[customer]),ROW(orderData[customer])),""),ROWS($A$15:A116)+$B$3)),INDEX(orderData[payed],SMALL(IF(ISNUMBER(MATCH(orderData[customer],$D$9,0)*MATCH(YEAR(orderData[invoice_date]),$D$15,0)),MATCH(ROW(orderData[customer]),ROW(orderData[customer])),""),ROWS($A$15:A116)+$B$3))),IF($D$15="",INDEX(orderData[payed],SMALL(IF(ISNUMBER(MATCH(orderData[customer],$D$9,0)*MATCH(orderData[order_type],$D$13,0)),MATCH(ROW(orderData[customer]),ROW(orderData[customer])),""),ROWS($A$15:A116)+$B$3)),INDEX(orderData[payed],SMALL(IF(ISNUMBER(MATCH(orderData[customer],$D$9,0)*MATCH(orderData[order_type],$D$13,0)*MATCH(YEAR(orderData[invoice_date]),$D$15,0)),MATCH(ROW(orderData[customer]),ROW(orderData[customer])),""),ROWS($A$15:A116)+$B$3)))),IF($D$13="",IF($D$15="",INDEX(orderData[payed],SMALL(IF(ISNUMBER(MATCH(orderData[customer],$D$9,0)*MATCH(orderData[status],$D$11,0)),MATCH(ROW(orderData[customer]),ROW(orderData[customer])),""),ROWS($A$15:A116)+$B$3)),INDEX(orderData[payed],SMALL(IF(ISNUMBER(MATCH(orderData[customer],$D$9,0)*MATCH(orderData[status],$D$11,0)*MATCH(YEAR(orderData[payed]),$D$15,0)),MATCH(ROW(orderData[customer]),ROW(orderData[customer])),""),ROWS($A$15:A116)+$B$3))),IF($D$15="",INDEX(orderData[payed],SMALL(IF(ISNUMBER(MATCH(orderData[customer],$D$9,0)*MATCH(orderData[status],$D$11,0)*MATCH(orderData[order_type],$D$13,0)),MATCH(ROW(orderData[customer]),ROW(orderData[customer])),""),ROWS($A$15:A116)+$B$3)),INDEX(orderData[paye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U109" s="282" t="str">
        <f t="array" ref="U109">IFERROR(IF($D$9="",IF($D$11="",IF($D$13="",IF($D$15="",INDEX(orderData[shipping_method],SMALL(MATCH(ROW(orderData[customer]),ROW(orderData[customer])),ROWS($A$15:A116)+$B$3)),INDEX(orderData[shipping_method],SMALL(IF(ISNUMBER(MATCH(YEAR(orderData[invoice_date]),$D$15,0)),MATCH(ROW(orderData[customer]),ROW(orderData[customer])),""),ROWS($A$15:A116)+$B$3))),IF($D$15="",INDEX(orderData[shipping_method],SMALL(IF(ISNUMBER(MATCH(orderData[order_type],$D$13,0)),MATCH(ROW(orderData[customer]),ROW(orderData[customer])),""),ROWS($A$15:A116)+$B$3)),INDEX(orderData[shipping_method],SMALL(IF(ISNUMBER(MATCH(orderData[order_type],$D$13,0)*MATCH(YEAR(orderData[invoice_date]),$D$15,0)),MATCH(ROW(orderData[customer]),ROW(orderData[customer])),""),ROWS($A$15:A116)+$B$3)))),IF($D$13="",IF($D$15="",INDEX(orderData[shipping_method],SMALL(IF(ISNUMBER(MATCH(orderData[status],$D$11,0)),MATCH(ROW(orderData[customer]),ROW(orderData[customer])),""),ROWS($A$15:A116)+$B$3)),INDEX(orderData[shipping_method],SMALL(IF(ISNUMBER(MATCH(orderData[status],$D$11,0)*MATCH(YEAR(orderData[invoice_date]),$D$15,0)),MATCH(ROW(orderData[customer]),ROW(orderData[customer])),""),ROWS($A$15:A116)+$B$3))),IF($D$15="",INDEX(orderData[shipping_method],SMALL(IF(ISNUMBER(MATCH(orderData[status],$D$11,0)*MATCH(orderData[order_type],$D$13,0)),MATCH(ROW(orderData[customer]),ROW(orderData[customer])),""),ROWS($A$15:A116)+$B$3)),INDEX(orderData[shipping_method],SMALL(IF(ISNUMBER(MATCH(orderData[status],$D$11,0)*MATCH(orderData[order_type],$D$13,0)*MATCH(YEAR(orderData[invoice_date]),$D$15,0)),MATCH(ROW(orderData[customer]),ROW(orderData[customer])),""),ROWS($A$15:A116)+$B$3))))),IF($D$11="",IF($D$13="",IF($D$15="",INDEX(orderData[shipping_method],SMALL(IF(ISNUMBER(MATCH(orderData[customer],$D$9,0)),MATCH(ROW(orderData[customer]),ROW(orderData[customer])),""),ROWS($A$15:A116)+$B$3)),INDEX(orderData[shipping_method],SMALL(IF(ISNUMBER(MATCH(orderData[customer],$D$9,0)*MATCH(YEAR(orderData[invoice_date]),$D$15,0)),MATCH(ROW(orderData[customer]),ROW(orderData[customer])),""),ROWS($A$15:A116)+$B$3))),IF($D$15="",INDEX(orderData[shipping_method],SMALL(IF(ISNUMBER(MATCH(orderData[customer],$D$9,0)*MATCH(orderData[order_type],$D$13,0)),MATCH(ROW(orderData[customer]),ROW(orderData[customer])),""),ROWS($A$15:A116)+$B$3)),INDEX(orderData[shipping_method],SMALL(IF(ISNUMBER(MATCH(orderData[customer],$D$9,0)*MATCH(orderData[order_type],$D$13,0)*MATCH(YEAR(orderData[invoice_date]),$D$15,0)),MATCH(ROW(orderData[customer]),ROW(orderData[customer])),""),ROWS($A$15:A116)+$B$3)))),IF($D$13="",IF($D$15="",INDEX(orderData[shipping_method],SMALL(IF(ISNUMBER(MATCH(orderData[customer],$D$9,0)*MATCH(orderData[status],$D$11,0)),MATCH(ROW(orderData[customer]),ROW(orderData[customer])),""),ROWS($A$15:A116)+$B$3)),INDEX(orderData[shipping_method],SMALL(IF(ISNUMBER(MATCH(orderData[customer],$D$9,0)*MATCH(orderData[status],$D$11,0)*MATCH(YEAR(orderData[shipping_method]),$D$15,0)),MATCH(ROW(orderData[customer]),ROW(orderData[customer])),""),ROWS($A$15:A116)+$B$3))),IF($D$15="",INDEX(orderData[shipping_method],SMALL(IF(ISNUMBER(MATCH(orderData[customer],$D$9,0)*MATCH(orderData[status],$D$11,0)*MATCH(orderData[order_type],$D$13,0)),MATCH(ROW(orderData[customer]),ROW(orderData[customer])),""),ROWS($A$15:A116)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V109" s="287" t="str">
        <f t="array" ref="V109">IFERROR(IF($D$9="",IF($D$11="",IF($D$13="",IF($D$15="",INDEX(orderData[status],SMALL(MATCH(ROW(orderData[customer]),ROW(orderData[customer])),ROWS($A$15:A116)+$B$3)),INDEX(orderData[status],SMALL(IF(ISNUMBER(MATCH(YEAR(orderData[invoice_date]),$D$15,0)),MATCH(ROW(orderData[customer]),ROW(orderData[customer])),""),ROWS($A$15:A116)+$B$3))),IF($D$15="",INDEX(orderData[status],SMALL(IF(ISNUMBER(MATCH(orderData[order_type],$D$13,0)),MATCH(ROW(orderData[customer]),ROW(orderData[customer])),""),ROWS($A$15:A116)+$B$3)),INDEX(orderData[status],SMALL(IF(ISNUMBER(MATCH(orderData[order_type],$D$13,0)*MATCH(YEAR(orderData[invoice_date]),$D$15,0)),MATCH(ROW(orderData[customer]),ROW(orderData[customer])),""),ROWS($A$15:A116)+$B$3)))),IF($D$13="",IF($D$15="",INDEX(orderData[status],SMALL(IF(ISNUMBER(MATCH(orderData[status],$D$11,0)),MATCH(ROW(orderData[customer]),ROW(orderData[customer])),""),ROWS($A$15:A116)+$B$3)),INDEX(orderData[status],SMALL(IF(ISNUMBER(MATCH(orderData[status],$D$11,0)*MATCH(YEAR(orderData[invoice_date]),$D$15,0)),MATCH(ROW(orderData[customer]),ROW(orderData[customer])),""),ROWS($A$15:A116)+$B$3))),IF($D$15="",INDEX(orderData[status],SMALL(IF(ISNUMBER(MATCH(orderData[status],$D$11,0)*MATCH(orderData[order_type],$D$13,0)),MATCH(ROW(orderData[customer]),ROW(orderData[customer])),""),ROWS($A$15:A116)+$B$3)),INDEX(orderData[status],SMALL(IF(ISNUMBER(MATCH(orderData[status],$D$11,0)*MATCH(orderData[order_type],$D$13,0)*MATCH(YEAR(orderData[invoice_date]),$D$15,0)),MATCH(ROW(orderData[customer]),ROW(orderData[customer])),""),ROWS($A$15:A116)+$B$3))))),IF($D$11="",IF($D$13="",IF($D$15="",INDEX(orderData[status],SMALL(IF(ISNUMBER(MATCH(orderData[customer],$D$9,0)),MATCH(ROW(orderData[customer]),ROW(orderData[customer])),""),ROWS($A$15:A116)+$B$3)),INDEX(orderData[status],SMALL(IF(ISNUMBER(MATCH(orderData[customer],$D$9,0)*MATCH(YEAR(orderData[invoice_date]),$D$15,0)),MATCH(ROW(orderData[customer]),ROW(orderData[customer])),""),ROWS($A$15:A116)+$B$3))),IF($D$15="",INDEX(orderData[status],SMALL(IF(ISNUMBER(MATCH(orderData[customer],$D$9,0)*MATCH(orderData[order_type],$D$13,0)),MATCH(ROW(orderData[customer]),ROW(orderData[customer])),""),ROWS($A$15:A116)+$B$3)),INDEX(orderData[status],SMALL(IF(ISNUMBER(MATCH(orderData[customer],$D$9,0)*MATCH(orderData[order_type],$D$13,0)*MATCH(YEAR(orderData[invoice_date]),$D$15,0)),MATCH(ROW(orderData[customer]),ROW(orderData[customer])),""),ROWS($A$15:A116)+$B$3)))),IF($D$13="",IF($D$15="",INDEX(orderData[status],SMALL(IF(ISNUMBER(MATCH(orderData[customer],$D$9,0)*MATCH(orderData[status],$D$11,0)),MATCH(ROW(orderData[customer]),ROW(orderData[customer])),""),ROWS($A$15:A116)+$B$3)),INDEX(orderData[status],SMALL(IF(ISNUMBER(MATCH(orderData[customer],$D$9,0)*MATCH(orderData[status],$D$11,0)*MATCH(YEAR(orderData[status]),$D$15,0)),MATCH(ROW(orderData[customer]),ROW(orderData[customer])),""),ROWS($A$15:A116)+$B$3))),IF($D$15="",INDEX(orderData[status],SMALL(IF(ISNUMBER(MATCH(orderData[customer],$D$9,0)*MATCH(orderData[status],$D$11,0)*MATCH(orderData[order_type],$D$13,0)),MATCH(ROW(orderData[customer]),ROW(orderData[customer])),""),ROWS($A$15:A116)+$B$3)),INDEX(orderData[statu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W109" s="384" t="str">
        <f t="array" ref="W109">IFERROR(IF($D$9="",IF($D$11="",IF($D$13="",IF($D$15="",INDEX(orderData[custom_docs],SMALL(MATCH(ROW(orderData[customer]),ROW(orderData[customer])),ROWS($A$15:A116)+$B$3)),INDEX(orderData[custom_docs],SMALL(IF(ISNUMBER(MATCH(YEAR(orderData[invoice_date]),$D$15,0)),MATCH(ROW(orderData[customer]),ROW(orderData[customer])),""),ROWS($A$15:A116)+$B$3))),IF($D$15="",INDEX(orderData[custom_docs],SMALL(IF(ISNUMBER(MATCH(orderData[order_type],$D$13,0)),MATCH(ROW(orderData[customer]),ROW(orderData[customer])),""),ROWS($A$15:A116)+$B$3)),INDEX(orderData[custom_docs],SMALL(IF(ISNUMBER(MATCH(orderData[order_type],$D$13,0)*MATCH(YEAR(orderData[invoice_date]),$D$15,0)),MATCH(ROW(orderData[customer]),ROW(orderData[customer])),""),ROWS($A$15:A116)+$B$3)))),IF($D$13="",IF($D$15="",INDEX(orderData[custom_docs],SMALL(IF(ISNUMBER(MATCH(orderData[status],$D$11,0)),MATCH(ROW(orderData[customer]),ROW(orderData[customer])),""),ROWS($A$15:A116)+$B$3)),INDEX(orderData[custom_docs],SMALL(IF(ISNUMBER(MATCH(orderData[status],$D$11,0)*MATCH(YEAR(orderData[invoice_date]),$D$15,0)),MATCH(ROW(orderData[customer]),ROW(orderData[customer])),""),ROWS($A$15:A116)+$B$3))),IF($D$15="",INDEX(orderData[custom_docs],SMALL(IF(ISNUMBER(MATCH(orderData[status],$D$11,0)*MATCH(orderData[order_type],$D$13,0)),MATCH(ROW(orderData[customer]),ROW(orderData[customer])),""),ROWS($A$15:A116)+$B$3)),INDEX(orderData[custom_docs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_docs],SMALL(IF(ISNUMBER(MATCH(orderData[customer],$D$9,0)),MATCH(ROW(orderData[customer]),ROW(orderData[customer])),""),ROWS($A$15:A116)+$B$3)),INDEX(orderData[custom_docs],SMALL(IF(ISNUMBER(MATCH(orderData[customer],$D$9,0)*MATCH(YEAR(orderData[invoice_date]),$D$15,0)),MATCH(ROW(orderData[customer]),ROW(orderData[customer])),""),ROWS($A$15:A116)+$B$3))),IF($D$15="",INDEX(orderData[custom_docs],SMALL(IF(ISNUMBER(MATCH(orderData[customer],$D$9,0)*MATCH(orderData[order_type],$D$13,0)),MATCH(ROW(orderData[customer]),ROW(orderData[customer])),""),ROWS($A$15:A116)+$B$3)),INDEX(orderData[custom_docs],SMALL(IF(ISNUMBER(MATCH(orderData[customer],$D$9,0)*MATCH(orderData[order_type],$D$13,0)*MATCH(YEAR(orderData[invoice_date]),$D$15,0)),MATCH(ROW(orderData[customer]),ROW(orderData[customer])),""),ROWS($A$15:A116)+$B$3)))),IF($D$13="",IF($D$15="",INDEX(orderData[custom_docs],SMALL(IF(ISNUMBER(MATCH(orderData[customer],$D$9,0)*MATCH(orderData[status],$D$11,0)),MATCH(ROW(orderData[customer]),ROW(orderData[customer])),""),ROWS($A$15:A116)+$B$3)),INDEX(orderData[custom_docs],SMALL(IF(ISNUMBER(MATCH(orderData[customer],$D$9,0)*MATCH(orderData[status],$D$11,0)*MATCH(YEAR(orderData[status]),$D$15,0)),MATCH(ROW(orderData[customer]),ROW(orderData[customer])),""),ROWS($A$15:A116)+$B$3))),IF($D$15="",INDEX(orderData[custom_docs],SMALL(IF(ISNUMBER(MATCH(orderData[customer],$D$9,0)*MATCH(orderData[status],$D$11,0)*MATCH(orderData[order_type],$D$13,0)),MATCH(ROW(orderData[customer]),ROW(orderData[customer])),""),ROWS($A$15:A116)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BK109" s="261"/>
      <c r="BL109" s="262"/>
      <c r="BM109" s="263"/>
      <c r="BN109" s="262"/>
      <c r="BO109" s="263"/>
      <c r="BZ109" s="310"/>
      <c r="CA109" s="297" t="str">
        <f>IFERROR(IF(BZ109="","",INDEX(productData[description],MATCH(BZ109,productData[sku],0))),"")</f>
        <v/>
      </c>
      <c r="CB109" s="299"/>
      <c r="CC109" s="413"/>
      <c r="CD109" s="305"/>
      <c r="CE109" s="420"/>
      <c r="CF109" s="300"/>
      <c r="CG109" s="301" t="str">
        <f>IFERROR(ROUNDUP(CB109/INDEX(productData[units_per_carton],MATCH(BZ109,productData[sku],0)),0),"")</f>
        <v/>
      </c>
      <c r="CH109" s="302" t="str">
        <f>IFERROR(ROUNDUP(CD109/INDEX(productData[units_per_carton],MATCH(BZ109,productData[sku],0)),0),"")</f>
        <v/>
      </c>
      <c r="CI109" s="302" t="str">
        <f>IFERROR(ROUNDUP(CF109/INDEX(productData[units_per_carton],MATCH(BZ109,productData[sku])),0),"")</f>
        <v/>
      </c>
      <c r="CJ109" s="302" t="str">
        <f>IFERROR(((CB109+CD109+CF109)/INDEX(productData[units_per_carton],MATCH(BZ109,productData[sku],0)))*INDEX(productData[net_weight],MATCH(BZ109,productData[sku],0)),"")</f>
        <v/>
      </c>
      <c r="CK109" s="302" t="str">
        <f>IFERROR(((CB109+CD109+CF109)/INDEX(productData[units_per_carton],MATCH(BZ109,productData[sku],0)))*INDEX(productData[gross_weight],MATCH(BZ109,productData[sku],0)),"")</f>
        <v/>
      </c>
      <c r="CL109" s="406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03" t="str">
        <f>IFERROR(INDEX(productData[category],MATCH(BZ109,productData[sku],0)),"")</f>
        <v/>
      </c>
      <c r="CN109" s="303" t="str">
        <f>IFERROR(INDEX(productData[size1],MATCH(BZ109,productData[sku],0)),"")</f>
        <v/>
      </c>
      <c r="CO109" s="304" t="str">
        <f>IFERROR(INDEX(productData[hs_code],MATCH(BZ109,productData[sku],0)),"")</f>
        <v/>
      </c>
      <c r="CP109" s="357" t="str">
        <f>IFERROR(INDEX(productData[sku_geko],MATCH(BZ109,productData[sku],0)),"")</f>
        <v/>
      </c>
      <c r="CQ109" s="300"/>
      <c r="CR109" s="376" t="str">
        <f>IFERROR(IF(BZ109="","",IF($BX$15="SALE",INDEX(inventory[COSTO UNITARIO],MATCH(BZ109,inventory[SKU],0)),IF($BX$15="SAMPLING",INDEX(inventory[COSTO UNITARIO],MATCH(BZ109,inventory[SKU],0)),""))),"")</f>
        <v/>
      </c>
      <c r="CS109" s="375" t="str">
        <f t="shared" si="8"/>
        <v/>
      </c>
      <c r="CT109" s="422" t="str">
        <f t="shared" si="9"/>
        <v/>
      </c>
      <c r="CU109" s="349" t="str">
        <f t="shared" si="10"/>
        <v/>
      </c>
      <c r="DB109" s="246" t="str">
        <f>IFERROR(VLOOKUP(BZ109,productData[],22,FALSE),"")</f>
        <v/>
      </c>
      <c r="EE109" s="329" t="str">
        <f t="array" ref="EE109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/>
      </c>
      <c r="EF109" s="493" t="str">
        <f t="array" ref="EF109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/>
      </c>
      <c r="EG109" s="330" t="str">
        <f>IFERROR(IF('BHPC MANAGER'!$EE109="","",INDEX(inventory[ESISTENZA],MATCH('BHPC MANAGER'!$EE109,inventory[SKU],0))),0)</f>
        <v/>
      </c>
      <c r="EH109" s="331" t="s">
        <v>241</v>
      </c>
      <c r="EI109" s="331" t="str">
        <f t="shared" si="11"/>
        <v/>
      </c>
      <c r="EJ109" s="332" t="s">
        <v>241</v>
      </c>
      <c r="EK109" s="333" t="str">
        <f t="shared" si="12"/>
        <v/>
      </c>
    </row>
    <row r="110" spans="12:141" ht="15" customHeight="1" thickBot="1" x14ac:dyDescent="0.4">
      <c r="L110" s="288" t="str">
        <f t="array" ref="L110">IFERROR(IF($D$9="",IF($D$11="",IF($D$13="",IF($D$15="",INDEX(orderData[customer],SMALL(MATCH(ROW(orderData[customer]),ROW(orderData[customer])),ROWS($A$15:A117)+$B$3)),INDEX(orderData[customer],SMALL(IF(ISNUMBER(MATCH(YEAR(orderData[invoice_date]),$D$15,0)),MATCH(ROW(orderData[customer]),ROW(orderData[customer])),""),ROWS($A$15:A117)+$B$3))),IF($D$15="",INDEX(orderData[customer],SMALL(IF(ISNUMBER(MATCH(orderData[order_type],$D$13,0)),MATCH(ROW(orderData[customer]),ROW(orderData[customer])),""),ROWS($A$15:A117)+$B$3)),INDEX(orderData[customer],SMALL(IF(ISNUMBER(MATCH(orderData[order_type],$D$13,0)*MATCH(YEAR(orderData[invoice_date]),$D$15,0)),MATCH(ROW(orderData[customer]),ROW(orderData[customer])),""),ROWS($A$15:A117)+$B$3)))),IF($D$13="",IF($D$15="",INDEX(orderData[customer],SMALL(IF(ISNUMBER(MATCH(orderData[status],$D$11,0)),MATCH(ROW(orderData[customer]),ROW(orderData[customer])),""),ROWS($A$15:A117)+$B$3)),INDEX(orderData[customer],SMALL(IF(ISNUMBER(MATCH(orderData[status],$D$11,0)*MATCH(YEAR(orderData[invoice_date]),$D$15,0)),MATCH(ROW(orderData[customer]),ROW(orderData[customer])),""),ROWS($A$15:A117)+$B$3))),IF($D$15="",INDEX(orderData[customer],SMALL(IF(ISNUMBER(MATCH(orderData[status],$D$11,0)*MATCH(orderData[order_type],$D$13,0)),MATCH(ROW(orderData[customer]),ROW(orderData[customer])),""),ROWS($A$15:A117)+$B$3)),INDEX(orderData[customer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er],SMALL(IF(ISNUMBER(MATCH(orderData[customer],$D$9,0)),MATCH(ROW(orderData[customer]),ROW(orderData[customer])),""),ROWS($A$15:A117)+$B$3)),INDEX(orderData[customer],SMALL(IF(ISNUMBER(MATCH(orderData[customer],$D$9,0)*MATCH(YEAR(orderData[invoice_date]),$D$15,0)),MATCH(ROW(orderData[customer]),ROW(orderData[customer])),""),ROWS($A$15:A117)+$B$3))),IF($D$15="",INDEX(orderData[customer],SMALL(IF(ISNUMBER(MATCH(orderData[customer],$D$9,0)*MATCH(orderData[order_type],$D$13,0)),MATCH(ROW(orderData[customer]),ROW(orderData[customer])),""),ROWS($A$15:A117)+$B$3)),INDEX(orderData[customer],SMALL(IF(ISNUMBER(MATCH(orderData[customer],$D$9,0)*MATCH(orderData[order_type],$D$13,0)*MATCH(YEAR(orderData[invoice_date]),$D$15,0)),MATCH(ROW(orderData[customer]),ROW(orderData[customer])),""),ROWS($A$15:A117)+$B$3)))),IF($D$13="",IF($D$15="",INDEX(orderData[customer],SMALL(IF(ISNUMBER(MATCH(orderData[customer],$D$9,0)*MATCH(orderData[status],$D$11,0)),MATCH(ROW(orderData[customer]),ROW(orderData[customer])),""),ROWS($A$15:A117)+$B$3)),INDEX(orderData[customer],SMALL(IF(ISNUMBER(MATCH(orderData[customer],$D$9,0)*MATCH(orderData[status],$D$11,0)*MATCH(YEAR(orderData[invoice_date]),$D$15,0)),MATCH(ROW(orderData[customer]),ROW(orderData[customer])),""),ROWS($A$15:A117)+$B$3))),IF($D$15="",INDEX(orderData[customer],SMALL(IF(ISNUMBER(MATCH(orderData[customer],$D$9,0)*MATCH(orderData[status],$D$11,0)*MATCH(orderData[order_type],$D$13,0)),MATCH(ROW(orderData[customer]),ROW(orderData[customer])),""),ROWS($A$15:A117)+$B$3)),INDEX(orderData[customer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M110" s="289" t="str">
        <f t="array" ref="M110">IFERROR(IF($D$9="",IF($D$11="",IF($D$13="",IF($D$15="",INDEX(orderData[order_no],SMALL(MATCH(ROW(orderData[customer]),ROW(orderData[customer])),ROWS($A$15:A117)+$B$3)),INDEX(orderData[order_no],SMALL(IF(ISNUMBER(MATCH(YEAR(orderData[invoice_date]),$D$15,0)),MATCH(ROW(orderData[customer]),ROW(orderData[customer])),""),ROWS($A$15:A117)+$B$3))),IF($D$15="",INDEX(orderData[order_no],SMALL(IF(ISNUMBER(MATCH(orderData[order_type],$D$13,0)),MATCH(ROW(orderData[customer]),ROW(orderData[customer])),""),ROWS($A$15:A117)+$B$3)),INDEX(orderData[order_no],SMALL(IF(ISNUMBER(MATCH(orderData[order_type],$D$13,0)*MATCH(YEAR(orderData[invoice_date]),$D$15,0)),MATCH(ROW(orderData[customer]),ROW(orderData[customer])),""),ROWS($A$15:A117)+$B$3)))),IF($D$13="",IF($D$15="",INDEX(orderData[order_no],SMALL(IF(ISNUMBER(MATCH(orderData[status],$D$11,0)),MATCH(ROW(orderData[customer]),ROW(orderData[customer])),""),ROWS($A$15:A117)+$B$3)),INDEX(orderData[order_no],SMALL(IF(ISNUMBER(MATCH(orderData[status],$D$11,0)*MATCH(YEAR(orderData[invoice_date]),$D$15,0)),MATCH(ROW(orderData[customer]),ROW(orderData[customer])),""),ROWS($A$15:A117)+$B$3))),IF($D$15="",INDEX(orderData[order_no],SMALL(IF(ISNUMBER(MATCH(orderData[status],$D$11,0)*MATCH(orderData[order_type],$D$13,0)),MATCH(ROW(orderData[customer]),ROW(orderData[customer])),""),ROWS($A$15:A117)+$B$3)),INDEX(orderData[order_no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no],SMALL(IF(ISNUMBER(MATCH(orderData[customer],$D$9,0)),MATCH(ROW(orderData[customer]),ROW(orderData[customer])),""),ROWS($A$15:A117)+$B$3)),INDEX(orderData[order_no],SMALL(IF(ISNUMBER(MATCH(orderData[customer],$D$9,0)*MATCH(YEAR(orderData[invoice_date]),$D$15,0)),MATCH(ROW(orderData[customer]),ROW(orderData[customer])),""),ROWS($A$15:A117)+$B$3))),IF($D$15="",INDEX(orderData[order_no],SMALL(IF(ISNUMBER(MATCH(orderData[customer],$D$9,0)*MATCH(orderData[order_type],$D$13,0)),MATCH(ROW(orderData[customer]),ROW(orderData[customer])),""),ROWS($A$15:A117)+$B$3)),INDEX(orderData[order_no],SMALL(IF(ISNUMBER(MATCH(orderData[customer],$D$9,0)*MATCH(orderData[order_type],$D$13,0)*MATCH(YEAR(orderData[invoice_date]),$D$15,0)),MATCH(ROW(orderData[customer]),ROW(orderData[customer])),""),ROWS($A$15:A117)+$B$3)))),IF($D$13="",IF($D$15="",INDEX(orderData[order_no],SMALL(IF(ISNUMBER(MATCH(orderData[customer],$D$9,0)*MATCH(orderData[status],$D$11,0)),MATCH(ROW(orderData[customer]),ROW(orderData[customer])),""),ROWS($A$15:A117)+$B$3)),INDEX(orderData[order_no],SMALL(IF(ISNUMBER(MATCH(orderData[customer],$D$9,0)*MATCH(orderData[status],$D$11,0)*MATCH(YEAR(orderData[invoice_date]),$D$15,0)),MATCH(ROW(orderData[customer]),ROW(orderData[customer])),""),ROWS($A$15:A117)+$B$3))),IF($D$15="",INDEX(orderData[order_no],SMALL(IF(ISNUMBER(MATCH(orderData[customer],$D$9,0)*MATCH(orderData[status],$D$11,0)*MATCH(orderData[order_type],$D$13,0)),MATCH(ROW(orderData[customer]),ROW(orderData[customer])),""),ROWS($A$15:A117)+$B$3)),INDEX(orderData[order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N110" s="290" t="str">
        <f t="array" ref="N110">IFERROR(IF($D$9="",IF($D$11="",IF($D$13="",IF($D$15="",INDEX(orderData[order_type],SMALL(MATCH(ROW(orderData[customer]),ROW(orderData[customer])),ROWS($A$15:A117)+$B$3)),INDEX(orderData[order_type],SMALL(IF(ISNUMBER(MATCH(YEAR(orderData[invoice_date]),$D$15,0)),MATCH(ROW(orderData[customer]),ROW(orderData[customer])),""),ROWS($A$15:A117)+$B$3))),IF($D$15="",INDEX(orderData[order_type],SMALL(IF(ISNUMBER(MATCH(orderData[order_type],$D$13,0)),MATCH(ROW(orderData[customer]),ROW(orderData[customer])),""),ROWS($A$15:A117)+$B$3)),INDEX(orderData[order_type],SMALL(IF(ISNUMBER(MATCH(orderData[order_type],$D$13,0)*MATCH(YEAR(orderData[invoice_date]),$D$15,0)),MATCH(ROW(orderData[customer]),ROW(orderData[customer])),""),ROWS($A$15:A117)+$B$3)))),IF($D$13="",IF($D$15="",INDEX(orderData[order_type],SMALL(IF(ISNUMBER(MATCH(orderData[status],$D$11,0)),MATCH(ROW(orderData[customer]),ROW(orderData[customer])),""),ROWS($A$15:A117)+$B$3)),INDEX(orderData[order_type],SMALL(IF(ISNUMBER(MATCH(orderData[status],$D$11,0)*MATCH(YEAR(orderData[invoice_date]),$D$15,0)),MATCH(ROW(orderData[customer]),ROW(orderData[customer])),""),ROWS($A$15:A117)+$B$3))),IF($D$15="",INDEX(orderData[order_type],SMALL(IF(ISNUMBER(MATCH(orderData[status],$D$11,0)*MATCH(orderData[order_type],$D$13,0)),MATCH(ROW(orderData[customer]),ROW(orderData[customer])),""),ROWS($A$15:A117)+$B$3)),INDEX(orderData[order_typ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type],SMALL(IF(ISNUMBER(MATCH(orderData[customer],$D$9,0)),MATCH(ROW(orderData[customer]),ROW(orderData[customer])),""),ROWS($A$15:A117)+$B$3)),INDEX(orderData[order_type],SMALL(IF(ISNUMBER(MATCH(orderData[customer],$D$9,0)*MATCH(YEAR(orderData[invoice_date]),$D$15,0)),MATCH(ROW(orderData[customer]),ROW(orderData[customer])),""),ROWS($A$15:A117)+$B$3))),IF($D$15="",INDEX(orderData[order_type],SMALL(IF(ISNUMBER(MATCH(orderData[customer],$D$9,0)*MATCH(orderData[order_type],$D$13,0)),MATCH(ROW(orderData[customer]),ROW(orderData[customer])),""),ROWS($A$15:A117)+$B$3)),INDEX(orderData[order_type],SMALL(IF(ISNUMBER(MATCH(orderData[customer],$D$9,0)*MATCH(orderData[order_type],$D$13,0)*MATCH(YEAR(orderData[invoice_date]),$D$15,0)),MATCH(ROW(orderData[customer]),ROW(orderData[customer])),""),ROWS($A$15:A117)+$B$3)))),IF($D$13="",IF($D$15="",INDEX(orderData[order_type],SMALL(IF(ISNUMBER(MATCH(orderData[customer],$D$9,0)*MATCH(orderData[status],$D$11,0)),MATCH(ROW(orderData[customer]),ROW(orderData[customer])),""),ROWS($A$15:A117)+$B$3)),INDEX(orderData[order_type],SMALL(IF(ISNUMBER(MATCH(orderData[customer],$D$9,0)*MATCH(orderData[status],$D$11,0)*MATCH(YEAR(orderData[invoice_date]),$D$15,0)),MATCH(ROW(orderData[customer]),ROW(orderData[customer])),""),ROWS($A$15:A117)+$B$3))),IF($D$15="",INDEX(orderData[order_type],SMALL(IF(ISNUMBER(MATCH(orderData[customer],$D$9,0)*MATCH(orderData[status],$D$11,0)*MATCH(orderData[order_type],$D$13,0)),MATCH(ROW(orderData[customer]),ROW(orderData[customer])),""),ROWS($A$15:A117)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O110" s="291" t="str">
        <f t="array" ref="O110">IFERROR(IF($D$9="",IF($D$11="",IF($D$13="",IF($D$15="",INDEX(orderData[order_date],SMALL(MATCH(ROW(orderData[customer]),ROW(orderData[customer])),ROWS($A$15:A117)+$B$3)),INDEX(orderData[order_date],SMALL(IF(ISNUMBER(MATCH(YEAR(orderData[invoice_date]),$D$15,0)),MATCH(ROW(orderData[customer]),ROW(orderData[customer])),""),ROWS($A$15:A117)+$B$3))),IF($D$15="",INDEX(orderData[order_date],SMALL(IF(ISNUMBER(MATCH(orderData[order_type],$D$13,0)),MATCH(ROW(orderData[customer]),ROW(orderData[customer])),""),ROWS($A$15:A117)+$B$3)),INDEX(orderData[order_date],SMALL(IF(ISNUMBER(MATCH(orderData[order_type],$D$13,0)*MATCH(YEAR(orderData[invoice_date]),$D$15,0)),MATCH(ROW(orderData[customer]),ROW(orderData[customer])),""),ROWS($A$15:A117)+$B$3)))),IF($D$13="",IF($D$15="",INDEX(orderData[order_date],SMALL(IF(ISNUMBER(MATCH(orderData[status],$D$11,0)),MATCH(ROW(orderData[customer]),ROW(orderData[customer])),""),ROWS($A$15:A117)+$B$3)),INDEX(orderData[order_date],SMALL(IF(ISNUMBER(MATCH(orderData[status],$D$11,0)*MATCH(YEAR(orderData[invoice_date]),$D$15,0)),MATCH(ROW(orderData[customer]),ROW(orderData[customer])),""),ROWS($A$15:A117)+$B$3))),IF($D$15="",INDEX(orderData[order_date],SMALL(IF(ISNUMBER(MATCH(orderData[status],$D$11,0)*MATCH(orderData[order_type],$D$13,0)),MATCH(ROW(orderData[customer]),ROW(orderData[customer])),""),ROWS($A$15:A117)+$B$3)),INDEX(orderData[order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date],SMALL(IF(ISNUMBER(MATCH(orderData[customer],$D$9,0)),MATCH(ROW(orderData[customer]),ROW(orderData[customer])),""),ROWS($A$15:A117)+$B$3)),INDEX(orderData[order_date],SMALL(IF(ISNUMBER(MATCH(orderData[customer],$D$9,0)*MATCH(YEAR(orderData[invoice_date]),$D$15,0)),MATCH(ROW(orderData[customer]),ROW(orderData[customer])),""),ROWS($A$15:A117)+$B$3))),IF($D$15="",INDEX(orderData[order_date],SMALL(IF(ISNUMBER(MATCH(orderData[customer],$D$9,0)*MATCH(orderData[order_type],$D$13,0)),MATCH(ROW(orderData[customer]),ROW(orderData[customer])),""),ROWS($A$15:A117)+$B$3)),INDEX(orderData[order_date],SMALL(IF(ISNUMBER(MATCH(orderData[customer],$D$9,0)*MATCH(orderData[order_type],$D$13,0)*MATCH(YEAR(orderData[invoice_date]),$D$15,0)),MATCH(ROW(orderData[customer]),ROW(orderData[customer])),""),ROWS($A$15:A117)+$B$3)))),IF($D$13="",IF($D$15="",INDEX(orderData[order_date],SMALL(IF(ISNUMBER(MATCH(orderData[customer],$D$9,0)*MATCH(orderData[status],$D$11,0)),MATCH(ROW(orderData[customer]),ROW(orderData[customer])),""),ROWS($A$15:A117)+$B$3)),INDEX(orderData[order_date],SMALL(IF(ISNUMBER(MATCH(orderData[customer],$D$9,0)*MATCH(orderData[status],$D$11,0)*MATCH(YEAR(orderData[invoice_date]),$D$15,0)),MATCH(ROW(orderData[customer]),ROW(orderData[customer])),""),ROWS($A$15:A117)+$B$3))),IF($D$15="",INDEX(orderData[order_date],SMALL(IF(ISNUMBER(MATCH(orderData[customer],$D$9,0)*MATCH(orderData[status],$D$11,0)*MATCH(orderData[order_type],$D$13,0)),MATCH(ROW(orderData[customer]),ROW(orderData[customer])),""),ROWS($A$15:A117)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P110" s="295" t="str">
        <f t="array" ref="P110">IFERROR(IF($D$9="",IF($D$11="",IF($D$13="",IF($D$15="",INDEX(orderData[invoice_no],SMALL(MATCH(ROW(orderData[customer]),ROW(orderData[customer])),ROWS($A$15:A117)+$B$3)),INDEX(orderData[invoice_no],SMALL(IF(ISNUMBER(MATCH(YEAR(orderData[invoice_date]),$D$15,0)),MATCH(ROW(orderData[customer]),ROW(orderData[customer])),""),ROWS($A$15:A117)+$B$3))),IF($D$15="",INDEX(orderData[invoice_no],SMALL(IF(ISNUMBER(MATCH(orderData[order_type],$D$13,0)),MATCH(ROW(orderData[customer]),ROW(orderData[customer])),""),ROWS($A$15:A117)+$B$3)),INDEX(orderData[invoice_no],SMALL(IF(ISNUMBER(MATCH(orderData[order_type],$D$13,0)*MATCH(YEAR(orderData[invoice_date]),$D$15,0)),MATCH(ROW(orderData[customer]),ROW(orderData[customer])),""),ROWS($A$15:A117)+$B$3)))),IF($D$13="",IF($D$15="",INDEX(orderData[invoice_no],SMALL(IF(ISNUMBER(MATCH(orderData[status],$D$11,0)),MATCH(ROW(orderData[customer]),ROW(orderData[customer])),""),ROWS($A$15:A117)+$B$3)),INDEX(orderData[invoice_no],SMALL(IF(ISNUMBER(MATCH(orderData[status],$D$11,0)*MATCH(YEAR(orderData[invoice_date]),$D$15,0)),MATCH(ROW(orderData[customer]),ROW(orderData[customer])),""),ROWS($A$15:A117)+$B$3))),IF($D$15="",INDEX(orderData[invoice_no],SMALL(IF(ISNUMBER(MATCH(orderData[status],$D$11,0)*MATCH(orderData[order_type],$D$13,0)),MATCH(ROW(orderData[customer]),ROW(orderData[customer])),""),ROWS($A$15:A117)+$B$3)),INDEX(orderData[invoice_no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no],SMALL(IF(ISNUMBER(MATCH(orderData[customer],$D$9,0)),MATCH(ROW(orderData[customer]),ROW(orderData[customer])),""),ROWS($A$15:A117)+$B$3)),INDEX(orderData[invoice_no],SMALL(IF(ISNUMBER(MATCH(orderData[customer],$D$9,0)*MATCH(YEAR(orderData[invoice_date]),$D$15,0)),MATCH(ROW(orderData[customer]),ROW(orderData[customer])),""),ROWS($A$15:A117)+$B$3))),IF($D$15="",INDEX(orderData[invoice_no],SMALL(IF(ISNUMBER(MATCH(orderData[customer],$D$9,0)*MATCH(orderData[order_type],$D$13,0)),MATCH(ROW(orderData[customer]),ROW(orderData[customer])),""),ROWS($A$15:A117)+$B$3)),INDEX(orderData[invoice_no],SMALL(IF(ISNUMBER(MATCH(orderData[customer],$D$9,0)*MATCH(orderData[order_type],$D$13,0)*MATCH(YEAR(orderData[invoice_date]),$D$15,0)),MATCH(ROW(orderData[customer]),ROW(orderData[customer])),""),ROWS($A$15:A117)+$B$3)))),IF($D$13="",IF($D$15="",INDEX(orderData[invoice_no],SMALL(IF(ISNUMBER(MATCH(orderData[customer],$D$9,0)*MATCH(orderData[status],$D$11,0)),MATCH(ROW(orderData[customer]),ROW(orderData[customer])),""),ROWS($A$15:A117)+$B$3)),INDEX(orderData[invoice_no],SMALL(IF(ISNUMBER(MATCH(orderData[customer],$D$9,0)*MATCH(orderData[status],$D$11,0)*MATCH(YEAR(orderData[invoice_date]),$D$15,0)),MATCH(ROW(orderData[customer]),ROW(orderData[customer])),""),ROWS($A$15:A117)+$B$3))),IF($D$15="",INDEX(orderData[invoice_no],SMALL(IF(ISNUMBER(MATCH(orderData[customer],$D$9,0)*MATCH(orderData[status],$D$11,0)*MATCH(orderData[order_type],$D$13,0)),MATCH(ROW(orderData[customer]),ROW(orderData[customer])),""),ROWS($A$15:A117)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Q110" s="292" t="str">
        <f t="array" ref="Q110">IFERROR(IF($D$9="",IF($D$11="",IF($D$13="",IF($D$15="",INDEX(orderData[invoice_date],SMALL(MATCH(ROW(orderData[customer]),ROW(orderData[customer])),ROWS($A$15:A117)+$B$3)),INDEX(orderData[invoice_date],SMALL(IF(ISNUMBER(MATCH(YEAR(orderData[invoice_date]),$D$15,0)),MATCH(ROW(orderData[customer]),ROW(orderData[customer])),""),ROWS($A$15:A117)+$B$3))),IF($D$15="",INDEX(orderData[invoice_date],SMALL(IF(ISNUMBER(MATCH(orderData[order_type],$D$13,0)),MATCH(ROW(orderData[customer]),ROW(orderData[customer])),""),ROWS($A$15:A117)+$B$3)),INDEX(orderData[invoice_date],SMALL(IF(ISNUMBER(MATCH(orderData[order_type],$D$13,0)*MATCH(YEAR(orderData[invoice_date]),$D$15,0)),MATCH(ROW(orderData[customer]),ROW(orderData[customer])),""),ROWS($A$15:A117)+$B$3)))),IF($D$13="",IF($D$15="",INDEX(orderData[invoice_date],SMALL(IF(ISNUMBER(MATCH(orderData[status],$D$11,0)),MATCH(ROW(orderData[customer]),ROW(orderData[customer])),""),ROWS($A$15:A117)+$B$3)),INDEX(orderData[invoice_date],SMALL(IF(ISNUMBER(MATCH(orderData[status],$D$11,0)*MATCH(YEAR(orderData[invoice_date]),$D$15,0)),MATCH(ROW(orderData[customer]),ROW(orderData[customer])),""),ROWS($A$15:A117)+$B$3))),IF($D$15="",INDEX(orderData[invoice_date],SMALL(IF(ISNUMBER(MATCH(orderData[status],$D$11,0)*MATCH(orderData[order_type],$D$13,0)),MATCH(ROW(orderData[customer]),ROW(orderData[customer])),""),ROWS($A$15:A117)+$B$3)),INDEX(orderData[invoice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date],SMALL(IF(ISNUMBER(MATCH(orderData[customer],$D$9,0)),MATCH(ROW(orderData[customer]),ROW(orderData[customer])),""),ROWS($A$15:A117)+$B$3)),INDEX(orderData[invoice_date],SMALL(IF(ISNUMBER(MATCH(orderData[customer],$D$9,0)*MATCH(YEAR(orderData[invoice_date]),$D$15,0)),MATCH(ROW(orderData[customer]),ROW(orderData[customer])),""),ROWS($A$15:A117)+$B$3))),IF($D$15="",INDEX(orderData[invoice_date],SMALL(IF(ISNUMBER(MATCH(orderData[customer],$D$9,0)*MATCH(orderData[order_type],$D$13,0)),MATCH(ROW(orderData[customer]),ROW(orderData[customer])),""),ROWS($A$15:A117)+$B$3)),INDEX(orderData[invoice_date],SMALL(IF(ISNUMBER(MATCH(orderData[customer],$D$9,0)*MATCH(orderData[order_type],$D$13,0)*MATCH(YEAR(orderData[invoice_date]),$D$15,0)),MATCH(ROW(orderData[customer]),ROW(orderData[customer])),""),ROWS($A$15:A117)+$B$3)))),IF($D$13="",IF($D$15="",INDEX(orderData[invoice_date],SMALL(IF(ISNUMBER(MATCH(orderData[customer],$D$9,0)*MATCH(orderData[status],$D$11,0)),MATCH(ROW(orderData[customer]),ROW(orderData[customer])),""),ROWS($A$15:A117)+$B$3)),INDEX(orderData[invoice_date],SMALL(IF(ISNUMBER(MATCH(orderData[customer],$D$9,0)*MATCH(orderData[status],$D$11,0)*MATCH(YEAR(orderData[invoice_date]),$D$15,0)),MATCH(ROW(orderData[customer]),ROW(orderData[customer])),""),ROWS($A$15:A117)+$B$3))),IF($D$15="",INDEX(orderData[invoice_date],SMALL(IF(ISNUMBER(MATCH(orderData[customer],$D$9,0)*MATCH(orderData[status],$D$11,0)*MATCH(orderData[order_type],$D$13,0)),MATCH(ROW(orderData[customer]),ROW(orderData[customer])),""),ROWS($A$15:A117)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R110" s="293" t="str">
        <f t="array" ref="R110">IFERROR(IF($D$9="",IF($D$11="",IF($D$13="",IF($D$15="",INDEX(orderData[inv_amount],SMALL(MATCH(ROW(orderData[customer]),ROW(orderData[customer])),ROWS($A$15:A117)+$B$3)),INDEX(orderData[inv_amount],SMALL(IF(ISNUMBER(MATCH(YEAR(orderData[invoice_date]),$D$15,0)),MATCH(ROW(orderData[customer]),ROW(orderData[customer])),""),ROWS($A$15:A117)+$B$3))),IF($D$15="",INDEX(orderData[inv_amount],SMALL(IF(ISNUMBER(MATCH(orderData[order_type],$D$13,0)),MATCH(ROW(orderData[customer]),ROW(orderData[customer])),""),ROWS($A$15:A117)+$B$3)),INDEX(orderData[inv_amount],SMALL(IF(ISNUMBER(MATCH(orderData[order_type],$D$13,0)*MATCH(YEAR(orderData[invoice_date]),$D$15,0)),MATCH(ROW(orderData[customer]),ROW(orderData[customer])),""),ROWS($A$15:A117)+$B$3)))),IF($D$13="",IF($D$15="",INDEX(orderData[inv_amount],SMALL(IF(ISNUMBER(MATCH(orderData[status],$D$11,0)),MATCH(ROW(orderData[customer]),ROW(orderData[customer])),""),ROWS($A$15:A117)+$B$3)),INDEX(orderData[inv_amount],SMALL(IF(ISNUMBER(MATCH(orderData[status],$D$11,0)*MATCH(YEAR(orderData[invoice_date]),$D$15,0)),MATCH(ROW(orderData[customer]),ROW(orderData[customer])),""),ROWS($A$15:A117)+$B$3))),IF($D$15="",INDEX(orderData[inv_amount],SMALL(IF(ISNUMBER(MATCH(orderData[status],$D$11,0)*MATCH(orderData[order_type],$D$13,0)),MATCH(ROW(orderData[customer]),ROW(orderData[customer])),""),ROWS($A$15:A117)+$B$3)),INDEX(orderData[inv_amount],SMALL(IF(ISNUMBER(MATCH(orderData[status],$D$11,0)*MATCH(orderData[order_type],$D$13,0)*MATCH(YEAR(orderData[invoice_date]),$D$15,0)),MATCH(ROW(orderData[customer]),ROW(orderData[customer])),""),ROWS($A$15:A117)+$B$3))))),IF($D$11="",IF($D$13="",IF($D$15="",INDEX(orderData[inv_amount],SMALL(IF(ISNUMBER(MATCH(orderData[customer],$D$9,0)),MATCH(ROW(orderData[customer]),ROW(orderData[customer])),""),ROWS($A$15:A117)+$B$3)),INDEX(orderData[inv_amount],SMALL(IF(ISNUMBER(MATCH(orderData[customer],$D$9,0)*MATCH(YEAR(orderData[invoice_date]),$D$15,0)),MATCH(ROW(orderData[customer]),ROW(orderData[customer])),""),ROWS($A$15:A117)+$B$3))),IF($D$15="",INDEX(orderData[inv_amount],SMALL(IF(ISNUMBER(MATCH(orderData[customer],$D$9,0)*MATCH(orderData[order_type],$D$13,0)),MATCH(ROW(orderData[customer]),ROW(orderData[customer])),""),ROWS($A$15:A117)+$B$3)),INDEX(orderData[inv_amount],SMALL(IF(ISNUMBER(MATCH(orderData[customer],$D$9,0)*MATCH(orderData[order_type],$D$13,0)*MATCH(YEAR(orderData[invoice_date]),$D$15,0)),MATCH(ROW(orderData[customer]),ROW(orderData[customer])),""),ROWS($A$15:A117)+$B$3)))),IF($D$13="",IF($D$15="",INDEX(orderData[inv_amount],SMALL(IF(ISNUMBER(MATCH(orderData[customer],$D$9,0)*MATCH(orderData[status],$D$11,0)),MATCH(ROW(orderData[customer]),ROW(orderData[customer])),""),ROWS($A$15:A117)+$B$3)),INDEX(orderData[inv_amount],SMALL(IF(ISNUMBER(MATCH(orderData[customer],$D$9,0)*MATCH(orderData[status],$D$11,0)*MATCH(YEAR(orderData[inv_amount]),$D$15,0)),MATCH(ROW(orderData[customer]),ROW(orderData[customer])),""),ROWS($A$15:A117)+$B$3))),IF($D$15="",INDEX(orderData[inv_amount],SMALL(IF(ISNUMBER(MATCH(orderData[customer],$D$9,0)*MATCH(orderData[status],$D$11,0)*MATCH(orderData[order_type],$D$13,0)),MATCH(ROW(orderData[customer]),ROW(orderData[customer])),""),ROWS($A$15:A117)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S110" s="346" t="str">
        <f t="array" ref="S110">IFERROR(IF($D$9="",IF($D$11="",IF($D$13="",IF($D$15="",INDEX(orderData[lock_goods],SMALL(MATCH(ROW(orderData[customer]),ROW(orderData[customer])),ROWS($A$15:A117)+$B$3)),INDEX(orderData[lock_goods],SMALL(IF(ISNUMBER(MATCH(YEAR(orderData[invoice_date]),$D$15,0)),MATCH(ROW(orderData[customer]),ROW(orderData[customer])),""),ROWS($A$15:A117)+$B$3))),IF($D$15="",INDEX(orderData[lock_goods],SMALL(IF(ISNUMBER(MATCH(orderData[order_type],$D$13,0)),MATCH(ROW(orderData[customer]),ROW(orderData[customer])),""),ROWS($A$15:A117)+$B$3)),INDEX(orderData[lock_goods],SMALL(IF(ISNUMBER(MATCH(orderData[order_type],$D$13,0)*MATCH(YEAR(orderData[invoice_date]),$D$15,0)),MATCH(ROW(orderData[customer]),ROW(orderData[customer])),""),ROWS($A$15:A117)+$B$3)))),IF($D$13="",IF($D$15="",INDEX(orderData[lock_goods],SMALL(IF(ISNUMBER(MATCH(orderData[status],$D$11,0)),MATCH(ROW(orderData[customer]),ROW(orderData[customer])),""),ROWS($A$15:A117)+$B$3)),INDEX(orderData[lock_goods],SMALL(IF(ISNUMBER(MATCH(orderData[status],$D$11,0)*MATCH(YEAR(orderData[invoice_date]),$D$15,0)),MATCH(ROW(orderData[customer]),ROW(orderData[customer])),""),ROWS($A$15:A117)+$B$3))),IF($D$15="",INDEX(orderData[lock_goods],SMALL(IF(ISNUMBER(MATCH(orderData[status],$D$11,0)*MATCH(orderData[order_type],$D$13,0)),MATCH(ROW(orderData[customer]),ROW(orderData[customer])),""),ROWS($A$15:A117)+$B$3)),INDEX(orderData[lock_goods],SMALL(IF(ISNUMBER(MATCH(orderData[status],$D$11,0)*MATCH(orderData[order_type],$D$13,0)*MATCH(YEAR(orderData[invoice_date]),$D$15,0)),MATCH(ROW(orderData[customer]),ROW(orderData[customer])),""),ROWS($A$15:A117)+$B$3))))),IF($D$11="",IF($D$13="",IF($D$15="",INDEX(orderData[lock_goods],SMALL(IF(ISNUMBER(MATCH(orderData[customer],$D$9,0)),MATCH(ROW(orderData[customer]),ROW(orderData[customer])),""),ROWS($A$15:A117)+$B$3)),INDEX(orderData[lock_goods],SMALL(IF(ISNUMBER(MATCH(orderData[customer],$D$9,0)*MATCH(YEAR(orderData[invoice_date]),$D$15,0)),MATCH(ROW(orderData[customer]),ROW(orderData[customer])),""),ROWS($A$15:A117)+$B$3))),IF($D$15="",INDEX(orderData[lock_goods],SMALL(IF(ISNUMBER(MATCH(orderData[customer],$D$9,0)*MATCH(orderData[order_type],$D$13,0)),MATCH(ROW(orderData[customer]),ROW(orderData[customer])),""),ROWS($A$15:A117)+$B$3)),INDEX(orderData[lock_goods],SMALL(IF(ISNUMBER(MATCH(orderData[customer],$D$9,0)*MATCH(orderData[order_type],$D$13,0)*MATCH(YEAR(orderData[invoice_date]),$D$15,0)),MATCH(ROW(orderData[customer]),ROW(orderData[customer])),""),ROWS($A$15:A117)+$B$3)))),IF($D$13="",IF($D$15="",INDEX(orderData[lock_goods],SMALL(IF(ISNUMBER(MATCH(orderData[customer],$D$9,0)*MATCH(orderData[status],$D$11,0)),MATCH(ROW(orderData[customer]),ROW(orderData[customer])),""),ROWS($A$15:A117)+$B$3)),INDEX(orderData[lock_goods],SMALL(IF(ISNUMBER(MATCH(orderData[customer],$D$9,0)*MATCH(orderData[status],$D$11,0)*MATCH(YEAR(orderData[payed]),$D$15,0)),MATCH(ROW(orderData[customer]),ROW(orderData[customer])),""),ROWS($A$15:A117)+$B$3))),IF($D$15="",INDEX(orderData[lock_goods],SMALL(IF(ISNUMBER(MATCH(orderData[customer],$D$9,0)*MATCH(orderData[status],$D$11,0)*MATCH(orderData[order_type],$D$13,0)),MATCH(ROW(orderData[customer]),ROW(orderData[customer])),""),ROWS($A$15:A117)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T110" s="294" t="str">
        <f t="array" ref="T110">IFERROR(IF($D$9="",IF($D$11="",IF($D$13="",IF($D$15="",INDEX(orderData[payed],SMALL(MATCH(ROW(orderData[customer]),ROW(orderData[customer])),ROWS($A$15:A117)+$B$3)),INDEX(orderData[payed],SMALL(IF(ISNUMBER(MATCH(YEAR(orderData[invoice_date]),$D$15,0)),MATCH(ROW(orderData[customer]),ROW(orderData[customer])),""),ROWS($A$15:A117)+$B$3))),IF($D$15="",INDEX(orderData[payed],SMALL(IF(ISNUMBER(MATCH(orderData[order_type],$D$13,0)),MATCH(ROW(orderData[customer]),ROW(orderData[customer])),""),ROWS($A$15:A117)+$B$3)),INDEX(orderData[payed],SMALL(IF(ISNUMBER(MATCH(orderData[order_type],$D$13,0)*MATCH(YEAR(orderData[invoice_date]),$D$15,0)),MATCH(ROW(orderData[customer]),ROW(orderData[customer])),""),ROWS($A$15:A117)+$B$3)))),IF($D$13="",IF($D$15="",INDEX(orderData[payed],SMALL(IF(ISNUMBER(MATCH(orderData[status],$D$11,0)),MATCH(ROW(orderData[customer]),ROW(orderData[customer])),""),ROWS($A$15:A117)+$B$3)),INDEX(orderData[payed],SMALL(IF(ISNUMBER(MATCH(orderData[status],$D$11,0)*MATCH(YEAR(orderData[invoice_date]),$D$15,0)),MATCH(ROW(orderData[customer]),ROW(orderData[customer])),""),ROWS($A$15:A117)+$B$3))),IF($D$15="",INDEX(orderData[payed],SMALL(IF(ISNUMBER(MATCH(orderData[status],$D$11,0)*MATCH(orderData[order_type],$D$13,0)),MATCH(ROW(orderData[customer]),ROW(orderData[customer])),""),ROWS($A$15:A117)+$B$3)),INDEX(orderData[payed],SMALL(IF(ISNUMBER(MATCH(orderData[status],$D$11,0)*MATCH(orderData[order_type],$D$13,0)*MATCH(YEAR(orderData[invoice_date]),$D$15,0)),MATCH(ROW(orderData[customer]),ROW(orderData[customer])),""),ROWS($A$15:A117)+$B$3))))),IF($D$11="",IF($D$13="",IF($D$15="",INDEX(orderData[payed],SMALL(IF(ISNUMBER(MATCH(orderData[customer],$D$9,0)),MATCH(ROW(orderData[customer]),ROW(orderData[customer])),""),ROWS($A$15:A117)+$B$3)),INDEX(orderData[payed],SMALL(IF(ISNUMBER(MATCH(orderData[customer],$D$9,0)*MATCH(YEAR(orderData[invoice_date]),$D$15,0)),MATCH(ROW(orderData[customer]),ROW(orderData[customer])),""),ROWS($A$15:A117)+$B$3))),IF($D$15="",INDEX(orderData[payed],SMALL(IF(ISNUMBER(MATCH(orderData[customer],$D$9,0)*MATCH(orderData[order_type],$D$13,0)),MATCH(ROW(orderData[customer]),ROW(orderData[customer])),""),ROWS($A$15:A117)+$B$3)),INDEX(orderData[payed],SMALL(IF(ISNUMBER(MATCH(orderData[customer],$D$9,0)*MATCH(orderData[order_type],$D$13,0)*MATCH(YEAR(orderData[invoice_date]),$D$15,0)),MATCH(ROW(orderData[customer]),ROW(orderData[customer])),""),ROWS($A$15:A117)+$B$3)))),IF($D$13="",IF($D$15="",INDEX(orderData[payed],SMALL(IF(ISNUMBER(MATCH(orderData[customer],$D$9,0)*MATCH(orderData[status],$D$11,0)),MATCH(ROW(orderData[customer]),ROW(orderData[customer])),""),ROWS($A$15:A117)+$B$3)),INDEX(orderData[payed],SMALL(IF(ISNUMBER(MATCH(orderData[customer],$D$9,0)*MATCH(orderData[status],$D$11,0)*MATCH(YEAR(orderData[payed]),$D$15,0)),MATCH(ROW(orderData[customer]),ROW(orderData[customer])),""),ROWS($A$15:A117)+$B$3))),IF($D$15="",INDEX(orderData[payed],SMALL(IF(ISNUMBER(MATCH(orderData[customer],$D$9,0)*MATCH(orderData[status],$D$11,0)*MATCH(orderData[order_type],$D$13,0)),MATCH(ROW(orderData[customer]),ROW(orderData[customer])),""),ROWS($A$15:A117)+$B$3)),INDEX(orderData[paye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U110" s="290" t="str">
        <f t="array" ref="U110">IFERROR(IF($D$9="",IF($D$11="",IF($D$13="",IF($D$15="",INDEX(orderData[shipping_method],SMALL(MATCH(ROW(orderData[customer]),ROW(orderData[customer])),ROWS($A$15:A117)+$B$3)),INDEX(orderData[shipping_method],SMALL(IF(ISNUMBER(MATCH(YEAR(orderData[invoice_date]),$D$15,0)),MATCH(ROW(orderData[customer]),ROW(orderData[customer])),""),ROWS($A$15:A117)+$B$3))),IF($D$15="",INDEX(orderData[shipping_method],SMALL(IF(ISNUMBER(MATCH(orderData[order_type],$D$13,0)),MATCH(ROW(orderData[customer]),ROW(orderData[customer])),""),ROWS($A$15:A117)+$B$3)),INDEX(orderData[shipping_method],SMALL(IF(ISNUMBER(MATCH(orderData[order_type],$D$13,0)*MATCH(YEAR(orderData[invoice_date]),$D$15,0)),MATCH(ROW(orderData[customer]),ROW(orderData[customer])),""),ROWS($A$15:A117)+$B$3)))),IF($D$13="",IF($D$15="",INDEX(orderData[shipping_method],SMALL(IF(ISNUMBER(MATCH(orderData[status],$D$11,0)),MATCH(ROW(orderData[customer]),ROW(orderData[customer])),""),ROWS($A$15:A117)+$B$3)),INDEX(orderData[shipping_method],SMALL(IF(ISNUMBER(MATCH(orderData[status],$D$11,0)*MATCH(YEAR(orderData[invoice_date]),$D$15,0)),MATCH(ROW(orderData[customer]),ROW(orderData[customer])),""),ROWS($A$15:A117)+$B$3))),IF($D$15="",INDEX(orderData[shipping_method],SMALL(IF(ISNUMBER(MATCH(orderData[status],$D$11,0)*MATCH(orderData[order_type],$D$13,0)),MATCH(ROW(orderData[customer]),ROW(orderData[customer])),""),ROWS($A$15:A117)+$B$3)),INDEX(orderData[shipping_method],SMALL(IF(ISNUMBER(MATCH(orderData[status],$D$11,0)*MATCH(orderData[order_type],$D$13,0)*MATCH(YEAR(orderData[invoice_date]),$D$15,0)),MATCH(ROW(orderData[customer]),ROW(orderData[customer])),""),ROWS($A$15:A117)+$B$3))))),IF($D$11="",IF($D$13="",IF($D$15="",INDEX(orderData[shipping_method],SMALL(IF(ISNUMBER(MATCH(orderData[customer],$D$9,0)),MATCH(ROW(orderData[customer]),ROW(orderData[customer])),""),ROWS($A$15:A117)+$B$3)),INDEX(orderData[shipping_method],SMALL(IF(ISNUMBER(MATCH(orderData[customer],$D$9,0)*MATCH(YEAR(orderData[invoice_date]),$D$15,0)),MATCH(ROW(orderData[customer]),ROW(orderData[customer])),""),ROWS($A$15:A117)+$B$3))),IF($D$15="",INDEX(orderData[shipping_method],SMALL(IF(ISNUMBER(MATCH(orderData[customer],$D$9,0)*MATCH(orderData[order_type],$D$13,0)),MATCH(ROW(orderData[customer]),ROW(orderData[customer])),""),ROWS($A$15:A117)+$B$3)),INDEX(orderData[shipping_method],SMALL(IF(ISNUMBER(MATCH(orderData[customer],$D$9,0)*MATCH(orderData[order_type],$D$13,0)*MATCH(YEAR(orderData[invoice_date]),$D$15,0)),MATCH(ROW(orderData[customer]),ROW(orderData[customer])),""),ROWS($A$15:A117)+$B$3)))),IF($D$13="",IF($D$15="",INDEX(orderData[shipping_method],SMALL(IF(ISNUMBER(MATCH(orderData[customer],$D$9,0)*MATCH(orderData[status],$D$11,0)),MATCH(ROW(orderData[customer]),ROW(orderData[customer])),""),ROWS($A$15:A117)+$B$3)),INDEX(orderData[shipping_method],SMALL(IF(ISNUMBER(MATCH(orderData[customer],$D$9,0)*MATCH(orderData[status],$D$11,0)*MATCH(YEAR(orderData[shipping_method]),$D$15,0)),MATCH(ROW(orderData[customer]),ROW(orderData[customer])),""),ROWS($A$15:A117)+$B$3))),IF($D$15="",INDEX(orderData[shipping_method],SMALL(IF(ISNUMBER(MATCH(orderData[customer],$D$9,0)*MATCH(orderData[status],$D$11,0)*MATCH(orderData[order_type],$D$13,0)),MATCH(ROW(orderData[customer]),ROW(orderData[customer])),""),ROWS($A$15:A117)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V110" s="294" t="str">
        <f t="array" ref="V110">IFERROR(IF($D$9="",IF($D$11="",IF($D$13="",IF($D$15="",INDEX(orderData[status],SMALL(MATCH(ROW(orderData[customer]),ROW(orderData[customer])),ROWS($A$15:A117)+$B$3)),INDEX(orderData[status],SMALL(IF(ISNUMBER(MATCH(YEAR(orderData[invoice_date]),$D$15,0)),MATCH(ROW(orderData[customer]),ROW(orderData[customer])),""),ROWS($A$15:A117)+$B$3))),IF($D$15="",INDEX(orderData[status],SMALL(IF(ISNUMBER(MATCH(orderData[order_type],$D$13,0)),MATCH(ROW(orderData[customer]),ROW(orderData[customer])),""),ROWS($A$15:A117)+$B$3)),INDEX(orderData[status],SMALL(IF(ISNUMBER(MATCH(orderData[order_type],$D$13,0)*MATCH(YEAR(orderData[invoice_date]),$D$15,0)),MATCH(ROW(orderData[customer]),ROW(orderData[customer])),""),ROWS($A$15:A117)+$B$3)))),IF($D$13="",IF($D$15="",INDEX(orderData[status],SMALL(IF(ISNUMBER(MATCH(orderData[status],$D$11,0)),MATCH(ROW(orderData[customer]),ROW(orderData[customer])),""),ROWS($A$15:A117)+$B$3)),INDEX(orderData[status],SMALL(IF(ISNUMBER(MATCH(orderData[status],$D$11,0)*MATCH(YEAR(orderData[invoice_date]),$D$15,0)),MATCH(ROW(orderData[customer]),ROW(orderData[customer])),""),ROWS($A$15:A117)+$B$3))),IF($D$15="",INDEX(orderData[status],SMALL(IF(ISNUMBER(MATCH(orderData[status],$D$11,0)*MATCH(orderData[order_type],$D$13,0)),MATCH(ROW(orderData[customer]),ROW(orderData[customer])),""),ROWS($A$15:A117)+$B$3)),INDEX(orderData[status],SMALL(IF(ISNUMBER(MATCH(orderData[status],$D$11,0)*MATCH(orderData[order_type],$D$13,0)*MATCH(YEAR(orderData[invoice_date]),$D$15,0)),MATCH(ROW(orderData[customer]),ROW(orderData[customer])),""),ROWS($A$15:A117)+$B$3))))),IF($D$11="",IF($D$13="",IF($D$15="",INDEX(orderData[status],SMALL(IF(ISNUMBER(MATCH(orderData[customer],$D$9,0)),MATCH(ROW(orderData[customer]),ROW(orderData[customer])),""),ROWS($A$15:A117)+$B$3)),INDEX(orderData[status],SMALL(IF(ISNUMBER(MATCH(orderData[customer],$D$9,0)*MATCH(YEAR(orderData[invoice_date]),$D$15,0)),MATCH(ROW(orderData[customer]),ROW(orderData[customer])),""),ROWS($A$15:A117)+$B$3))),IF($D$15="",INDEX(orderData[status],SMALL(IF(ISNUMBER(MATCH(orderData[customer],$D$9,0)*MATCH(orderData[order_type],$D$13,0)),MATCH(ROW(orderData[customer]),ROW(orderData[customer])),""),ROWS($A$15:A117)+$B$3)),INDEX(orderData[status],SMALL(IF(ISNUMBER(MATCH(orderData[customer],$D$9,0)*MATCH(orderData[order_type],$D$13,0)*MATCH(YEAR(orderData[invoice_date]),$D$15,0)),MATCH(ROW(orderData[customer]),ROW(orderData[customer])),""),ROWS($A$15:A117)+$B$3)))),IF($D$13="",IF($D$15="",INDEX(orderData[status],SMALL(IF(ISNUMBER(MATCH(orderData[customer],$D$9,0)*MATCH(orderData[status],$D$11,0)),MATCH(ROW(orderData[customer]),ROW(orderData[customer])),""),ROWS($A$15:A117)+$B$3)),INDEX(orderData[status],SMALL(IF(ISNUMBER(MATCH(orderData[customer],$D$9,0)*MATCH(orderData[status],$D$11,0)*MATCH(YEAR(orderData[status]),$D$15,0)),MATCH(ROW(orderData[customer]),ROW(orderData[customer])),""),ROWS($A$15:A117)+$B$3))),IF($D$15="",INDEX(orderData[status],SMALL(IF(ISNUMBER(MATCH(orderData[customer],$D$9,0)*MATCH(orderData[status],$D$11,0)*MATCH(orderData[order_type],$D$13,0)),MATCH(ROW(orderData[customer]),ROW(orderData[customer])),""),ROWS($A$15:A117)+$B$3)),INDEX(orderData[statu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W110" s="385" t="str">
        <f t="array" ref="W110">IFERROR(IF($D$9="",IF($D$11="",IF($D$13="",IF($D$15="",INDEX(orderData[custom_docs],SMALL(MATCH(ROW(orderData[customer]),ROW(orderData[customer])),ROWS($A$15:A117)+$B$3)),INDEX(orderData[custom_docs],SMALL(IF(ISNUMBER(MATCH(YEAR(orderData[invoice_date]),$D$15,0)),MATCH(ROW(orderData[customer]),ROW(orderData[customer])),""),ROWS($A$15:A117)+$B$3))),IF($D$15="",INDEX(orderData[custom_docs],SMALL(IF(ISNUMBER(MATCH(orderData[order_type],$D$13,0)),MATCH(ROW(orderData[customer]),ROW(orderData[customer])),""),ROWS($A$15:A117)+$B$3)),INDEX(orderData[custom_docs],SMALL(IF(ISNUMBER(MATCH(orderData[order_type],$D$13,0)*MATCH(YEAR(orderData[invoice_date]),$D$15,0)),MATCH(ROW(orderData[customer]),ROW(orderData[customer])),""),ROWS($A$15:A117)+$B$3)))),IF($D$13="",IF($D$15="",INDEX(orderData[custom_docs],SMALL(IF(ISNUMBER(MATCH(orderData[status],$D$11,0)),MATCH(ROW(orderData[customer]),ROW(orderData[customer])),""),ROWS($A$15:A117)+$B$3)),INDEX(orderData[custom_docs],SMALL(IF(ISNUMBER(MATCH(orderData[status],$D$11,0)*MATCH(YEAR(orderData[invoice_date]),$D$15,0)),MATCH(ROW(orderData[customer]),ROW(orderData[customer])),""),ROWS($A$15:A117)+$B$3))),IF($D$15="",INDEX(orderData[custom_docs],SMALL(IF(ISNUMBER(MATCH(orderData[status],$D$11,0)*MATCH(orderData[order_type],$D$13,0)),MATCH(ROW(orderData[customer]),ROW(orderData[customer])),""),ROWS($A$15:A117)+$B$3)),INDEX(orderData[custom_docs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_docs],SMALL(IF(ISNUMBER(MATCH(orderData[customer],$D$9,0)),MATCH(ROW(orderData[customer]),ROW(orderData[customer])),""),ROWS($A$15:A117)+$B$3)),INDEX(orderData[custom_docs],SMALL(IF(ISNUMBER(MATCH(orderData[customer],$D$9,0)*MATCH(YEAR(orderData[invoice_date]),$D$15,0)),MATCH(ROW(orderData[customer]),ROW(orderData[customer])),""),ROWS($A$15:A117)+$B$3))),IF($D$15="",INDEX(orderData[custom_docs],SMALL(IF(ISNUMBER(MATCH(orderData[customer],$D$9,0)*MATCH(orderData[order_type],$D$13,0)),MATCH(ROW(orderData[customer]),ROW(orderData[customer])),""),ROWS($A$15:A117)+$B$3)),INDEX(orderData[custom_docs],SMALL(IF(ISNUMBER(MATCH(orderData[customer],$D$9,0)*MATCH(orderData[order_type],$D$13,0)*MATCH(YEAR(orderData[invoice_date]),$D$15,0)),MATCH(ROW(orderData[customer]),ROW(orderData[customer])),""),ROWS($A$15:A117)+$B$3)))),IF($D$13="",IF($D$15="",INDEX(orderData[custom_docs],SMALL(IF(ISNUMBER(MATCH(orderData[customer],$D$9,0)*MATCH(orderData[status],$D$11,0)),MATCH(ROW(orderData[customer]),ROW(orderData[customer])),""),ROWS($A$15:A117)+$B$3)),INDEX(orderData[custom_docs],SMALL(IF(ISNUMBER(MATCH(orderData[customer],$D$9,0)*MATCH(orderData[status],$D$11,0)*MATCH(YEAR(orderData[status]),$D$15,0)),MATCH(ROW(orderData[customer]),ROW(orderData[customer])),""),ROWS($A$15:A117)+$B$3))),IF($D$15="",INDEX(orderData[custom_docs],SMALL(IF(ISNUMBER(MATCH(orderData[customer],$D$9,0)*MATCH(orderData[status],$D$11,0)*MATCH(orderData[order_type],$D$13,0)),MATCH(ROW(orderData[customer]),ROW(orderData[customer])),""),ROWS($A$15:A117)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BK110" s="261"/>
      <c r="BL110" s="262"/>
      <c r="BM110" s="263"/>
      <c r="BN110" s="262"/>
      <c r="BO110" s="263"/>
      <c r="BZ110" s="311"/>
      <c r="CA110" s="312" t="str">
        <f>IFERROR(IF(BZ110="","",INDEX(productData[description],MATCH(BZ110,productData[sku],0))),"")</f>
        <v/>
      </c>
      <c r="CB110" s="313"/>
      <c r="CC110" s="416"/>
      <c r="CD110" s="467"/>
      <c r="CE110" s="421"/>
      <c r="CF110" s="383"/>
      <c r="CG110" s="314" t="str">
        <f>IFERROR(ROUNDUP(CB110/INDEX(productData[units_per_carton],MATCH(BZ110,productData[sku],0)),0),"")</f>
        <v/>
      </c>
      <c r="CH110" s="315" t="str">
        <f>IFERROR(ROUNDUP(CD110/INDEX(productData[units_per_carton],MATCH(BZ110,productData[sku],0)),0),"")</f>
        <v/>
      </c>
      <c r="CI110" s="315" t="str">
        <f>IFERROR(ROUNDUP(CF110/INDEX(productData[units_per_carton],MATCH(BZ110,productData[sku])),0),"")</f>
        <v/>
      </c>
      <c r="CJ110" s="316" t="str">
        <f>IFERROR(((CB110+CD110+CF110)/INDEX(productData[units_per_carton],MATCH(BZ110,productData[sku],0)))*INDEX(productData[net_weight],MATCH(BZ110,productData[sku],0)),"")</f>
        <v/>
      </c>
      <c r="CK110" s="316" t="str">
        <f>IFERROR(((CB110+CD110+CF110)/INDEX(productData[units_per_carton],MATCH(BZ110,productData[sku],0)))*INDEX(productData[gross_weight],MATCH(BZ110,productData[sku],0)),"")</f>
        <v/>
      </c>
      <c r="CL110" s="408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17" t="str">
        <f>IFERROR(INDEX(productData[category],MATCH(BZ110,productData[sku],0)),"")</f>
        <v/>
      </c>
      <c r="CN110" s="317" t="str">
        <f>IFERROR(INDEX(productData[size1],MATCH(BZ110,productData[sku],0)),"")</f>
        <v/>
      </c>
      <c r="CO110" s="318" t="str">
        <f>IFERROR(INDEX(productData[hs_code],MATCH(BZ110,productData[sku],0)),"")</f>
        <v/>
      </c>
      <c r="CP110" s="358" t="str">
        <f>IFERROR(INDEX(productData[sku_geko],MATCH(BZ110,productData[sku],0)),"")</f>
        <v/>
      </c>
      <c r="CQ110" s="383"/>
      <c r="CR110" s="377" t="str">
        <f>IFERROR(IF(BZ110="","",IF($BX$15="SALE",INDEX(inventory[COSTO UNITARIO],MATCH(BZ110,inventory[SKU],0)),IF($BX$15="SAMPLING",INDEX(inventory[COSTO UNITARIO],MATCH(BZ110,inventory[SKU],0)),""))),"")</f>
        <v/>
      </c>
      <c r="CS110" s="378" t="str">
        <f t="shared" si="8"/>
        <v/>
      </c>
      <c r="CT110" s="423" t="str">
        <f t="shared" si="9"/>
        <v/>
      </c>
      <c r="CU110" s="350" t="str">
        <f t="shared" si="10"/>
        <v/>
      </c>
      <c r="DB110" s="246" t="str">
        <f>IFERROR(VLOOKUP(BZ110,productData[],22,FALSE),"")</f>
        <v/>
      </c>
      <c r="EE110" s="334" t="str">
        <f t="array" ref="EE110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/>
      </c>
      <c r="EF110" s="494" t="str">
        <f t="array" ref="EF110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/>
      </c>
      <c r="EG110" s="335" t="str">
        <f>IFERROR(IF('BHPC MANAGER'!$EE110="","",INDEX(inventory[ESISTENZA],MATCH('BHPC MANAGER'!$EE110,inventory[SKU],0))),0)</f>
        <v/>
      </c>
      <c r="EH110" s="336" t="s">
        <v>241</v>
      </c>
      <c r="EI110" s="336" t="str">
        <f t="shared" si="11"/>
        <v/>
      </c>
      <c r="EJ110" s="337" t="s">
        <v>241</v>
      </c>
      <c r="EK110" s="338" t="str">
        <f t="shared" si="12"/>
        <v/>
      </c>
    </row>
    <row r="111" spans="12:141" x14ac:dyDescent="0.35">
      <c r="BK111" s="261"/>
      <c r="BL111" s="262"/>
      <c r="BM111" s="263"/>
      <c r="BN111" s="262"/>
      <c r="BO111" s="263"/>
      <c r="EE111" s="329" t="str">
        <f t="array" ref="EE111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/>
      </c>
      <c r="EF111" s="493" t="str">
        <f t="array" ref="EF111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/>
      </c>
      <c r="EG111" s="330" t="str">
        <f>IFERROR(IF('BHPC MANAGER'!$EE111="","",INDEX(inventory[ESISTENZA],MATCH('BHPC MANAGER'!$EE111,inventory[SKU],0))),0)</f>
        <v/>
      </c>
      <c r="EH111" s="331" t="s">
        <v>241</v>
      </c>
      <c r="EI111" s="331" t="str">
        <f t="shared" si="11"/>
        <v/>
      </c>
      <c r="EJ111" s="332" t="s">
        <v>241</v>
      </c>
      <c r="EK111" s="333" t="str">
        <f t="shared" si="12"/>
        <v/>
      </c>
    </row>
    <row r="112" spans="12:141" x14ac:dyDescent="0.35">
      <c r="BK112" s="261"/>
      <c r="BL112" s="262"/>
      <c r="BM112" s="263"/>
      <c r="BN112" s="262"/>
      <c r="BO112" s="263"/>
      <c r="EE112" s="334" t="str">
        <f t="array" ref="EE112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/>
      </c>
      <c r="EF112" s="494" t="str">
        <f t="array" ref="EF112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/>
      </c>
      <c r="EG112" s="335" t="str">
        <f>IFERROR(IF('BHPC MANAGER'!$EE112="","",INDEX(inventory[ESISTENZA],MATCH('BHPC MANAGER'!$EE112,inventory[SKU],0))),0)</f>
        <v/>
      </c>
      <c r="EH112" s="336" t="s">
        <v>241</v>
      </c>
      <c r="EI112" s="336" t="str">
        <f t="shared" si="11"/>
        <v/>
      </c>
      <c r="EJ112" s="337" t="s">
        <v>241</v>
      </c>
      <c r="EK112" s="338" t="str">
        <f t="shared" si="12"/>
        <v/>
      </c>
    </row>
    <row r="113" spans="63:141" x14ac:dyDescent="0.35">
      <c r="BK113" s="261"/>
      <c r="BL113" s="262"/>
      <c r="BM113" s="263"/>
      <c r="BN113" s="262"/>
      <c r="BO113" s="263"/>
      <c r="EE113" s="329" t="str">
        <f t="array" ref="EE113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/>
      </c>
      <c r="EF113" s="493" t="str">
        <f t="array" ref="EF113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/>
      </c>
      <c r="EG113" s="330" t="str">
        <f>IFERROR(IF('BHPC MANAGER'!$EE113="","",INDEX(inventory[ESISTENZA],MATCH('BHPC MANAGER'!$EE113,inventory[SKU],0))),0)</f>
        <v/>
      </c>
      <c r="EH113" s="331" t="s">
        <v>241</v>
      </c>
      <c r="EI113" s="331" t="str">
        <f t="shared" si="11"/>
        <v/>
      </c>
      <c r="EJ113" s="332" t="s">
        <v>241</v>
      </c>
      <c r="EK113" s="333" t="str">
        <f t="shared" si="12"/>
        <v/>
      </c>
    </row>
    <row r="114" spans="63:141" x14ac:dyDescent="0.35">
      <c r="BK114" s="261"/>
      <c r="BL114" s="262"/>
      <c r="BM114" s="263"/>
      <c r="BN114" s="262"/>
      <c r="BO114" s="263"/>
      <c r="EE114" s="334" t="str">
        <f t="array" ref="EE114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/>
      </c>
      <c r="EF114" s="494" t="str">
        <f t="array" ref="EF114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/>
      </c>
      <c r="EG114" s="335" t="str">
        <f>IFERROR(IF('BHPC MANAGER'!$EE114="","",INDEX(inventory[ESISTENZA],MATCH('BHPC MANAGER'!$EE114,inventory[SKU],0))),0)</f>
        <v/>
      </c>
      <c r="EH114" s="336" t="s">
        <v>241</v>
      </c>
      <c r="EI114" s="336" t="str">
        <f t="shared" si="11"/>
        <v/>
      </c>
      <c r="EJ114" s="337" t="s">
        <v>241</v>
      </c>
      <c r="EK114" s="338" t="str">
        <f t="shared" si="12"/>
        <v/>
      </c>
    </row>
    <row r="115" spans="63:141" x14ac:dyDescent="0.35">
      <c r="BK115" s="261"/>
      <c r="BL115" s="262"/>
      <c r="BM115" s="263"/>
      <c r="BN115" s="262"/>
      <c r="BO115" s="263"/>
      <c r="EE115" s="329" t="str">
        <f t="array" ref="EE115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/>
      </c>
      <c r="EF115" s="493" t="str">
        <f t="array" ref="EF115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/>
      </c>
      <c r="EG115" s="330" t="str">
        <f>IFERROR(IF('BHPC MANAGER'!$EE115="","",INDEX(inventory[ESISTENZA],MATCH('BHPC MANAGER'!$EE115,inventory[SKU],0))),0)</f>
        <v/>
      </c>
      <c r="EH115" s="331" t="s">
        <v>241</v>
      </c>
      <c r="EI115" s="331" t="str">
        <f t="shared" si="11"/>
        <v/>
      </c>
      <c r="EJ115" s="332" t="s">
        <v>241</v>
      </c>
      <c r="EK115" s="333" t="str">
        <f t="shared" si="12"/>
        <v/>
      </c>
    </row>
    <row r="116" spans="63:141" x14ac:dyDescent="0.35">
      <c r="BK116" s="261"/>
      <c r="BL116" s="262"/>
      <c r="BM116" s="263"/>
      <c r="BN116" s="262"/>
      <c r="BO116" s="263"/>
      <c r="EE116" s="334" t="str">
        <f t="array" ref="EE116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/>
      </c>
      <c r="EF116" s="494" t="str">
        <f t="array" ref="EF116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/>
      </c>
      <c r="EG116" s="335" t="str">
        <f>IFERROR(IF('BHPC MANAGER'!$EE116="","",INDEX(inventory[ESISTENZA],MATCH('BHPC MANAGER'!$EE116,inventory[SKU],0))),0)</f>
        <v/>
      </c>
      <c r="EH116" s="336" t="s">
        <v>241</v>
      </c>
      <c r="EI116" s="336" t="str">
        <f t="shared" si="11"/>
        <v/>
      </c>
      <c r="EJ116" s="337" t="s">
        <v>241</v>
      </c>
      <c r="EK116" s="338" t="str">
        <f t="shared" si="12"/>
        <v/>
      </c>
    </row>
    <row r="117" spans="63:141" x14ac:dyDescent="0.35">
      <c r="BK117" s="261"/>
      <c r="BL117" s="262"/>
      <c r="BM117" s="263"/>
      <c r="BN117" s="262"/>
      <c r="BO117" s="263"/>
      <c r="EE117" s="329" t="str">
        <f t="array" ref="EE117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/>
      </c>
      <c r="EF117" s="493" t="str">
        <f t="array" ref="EF117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/>
      </c>
      <c r="EG117" s="330" t="str">
        <f>IFERROR(IF('BHPC MANAGER'!$EE117="","",INDEX(inventory[ESISTENZA],MATCH('BHPC MANAGER'!$EE117,inventory[SKU],0))),0)</f>
        <v/>
      </c>
      <c r="EH117" s="331" t="s">
        <v>241</v>
      </c>
      <c r="EI117" s="331" t="str">
        <f t="shared" si="11"/>
        <v/>
      </c>
      <c r="EJ117" s="332" t="s">
        <v>241</v>
      </c>
      <c r="EK117" s="333" t="str">
        <f t="shared" si="12"/>
        <v/>
      </c>
    </row>
    <row r="118" spans="63:141" x14ac:dyDescent="0.35">
      <c r="BK118" s="261"/>
      <c r="BL118" s="262"/>
      <c r="BM118" s="263"/>
      <c r="BN118" s="262"/>
      <c r="BO118" s="263"/>
      <c r="EE118" s="334" t="str">
        <f t="array" ref="EE118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/>
      </c>
      <c r="EF118" s="494" t="str">
        <f t="array" ref="EF118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/>
      </c>
      <c r="EG118" s="335" t="str">
        <f>IFERROR(IF('BHPC MANAGER'!$EE118="","",INDEX(inventory[ESISTENZA],MATCH('BHPC MANAGER'!$EE118,inventory[SKU],0))),0)</f>
        <v/>
      </c>
      <c r="EH118" s="336" t="s">
        <v>241</v>
      </c>
      <c r="EI118" s="336" t="str">
        <f t="shared" si="11"/>
        <v/>
      </c>
      <c r="EJ118" s="337" t="s">
        <v>241</v>
      </c>
      <c r="EK118" s="338" t="str">
        <f t="shared" si="12"/>
        <v/>
      </c>
    </row>
    <row r="119" spans="63:141" x14ac:dyDescent="0.35">
      <c r="BK119" s="261"/>
      <c r="BL119" s="262"/>
      <c r="BM119" s="263"/>
      <c r="BN119" s="262"/>
      <c r="BO119" s="263"/>
      <c r="EE119" s="329" t="str">
        <f t="array" ref="EE119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/>
      </c>
      <c r="EF119" s="493" t="str">
        <f t="array" ref="EF119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/>
      </c>
      <c r="EG119" s="330" t="str">
        <f>IFERROR(IF('BHPC MANAGER'!$EE119="","",INDEX(inventory[ESISTENZA],MATCH('BHPC MANAGER'!$EE119,inventory[SKU],0))),0)</f>
        <v/>
      </c>
      <c r="EH119" s="331" t="s">
        <v>241</v>
      </c>
      <c r="EI119" s="331" t="str">
        <f t="shared" si="11"/>
        <v/>
      </c>
      <c r="EJ119" s="332" t="s">
        <v>241</v>
      </c>
      <c r="EK119" s="333" t="str">
        <f t="shared" si="12"/>
        <v/>
      </c>
    </row>
    <row r="120" spans="63:141" x14ac:dyDescent="0.35">
      <c r="BK120" s="261"/>
      <c r="BL120" s="262"/>
      <c r="BM120" s="263"/>
      <c r="BN120" s="262"/>
      <c r="BO120" s="263"/>
      <c r="EE120" s="334" t="str">
        <f t="array" ref="EE120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/>
      </c>
      <c r="EF120" s="494" t="str">
        <f t="array" ref="EF120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/>
      </c>
      <c r="EG120" s="335" t="str">
        <f>IFERROR(IF('BHPC MANAGER'!$EE120="","",INDEX(inventory[ESISTENZA],MATCH('BHPC MANAGER'!$EE120,inventory[SKU],0))),0)</f>
        <v/>
      </c>
      <c r="EH120" s="336" t="s">
        <v>241</v>
      </c>
      <c r="EI120" s="336" t="str">
        <f t="shared" si="11"/>
        <v/>
      </c>
      <c r="EJ120" s="337" t="s">
        <v>241</v>
      </c>
      <c r="EK120" s="338" t="str">
        <f t="shared" si="12"/>
        <v/>
      </c>
    </row>
    <row r="121" spans="63:141" x14ac:dyDescent="0.35">
      <c r="BK121" s="261"/>
      <c r="BL121" s="262"/>
      <c r="BM121" s="263"/>
      <c r="BN121" s="262"/>
      <c r="BO121" s="263"/>
      <c r="EE121" s="329" t="str">
        <f t="array" ref="EE121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/>
      </c>
      <c r="EF121" s="493" t="str">
        <f t="array" ref="EF121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/>
      </c>
      <c r="EG121" s="330" t="str">
        <f>IFERROR(IF('BHPC MANAGER'!$EE121="","",INDEX(inventory[ESISTENZA],MATCH('BHPC MANAGER'!$EE121,inventory[SKU],0))),0)</f>
        <v/>
      </c>
      <c r="EH121" s="331" t="s">
        <v>241</v>
      </c>
      <c r="EI121" s="331" t="str">
        <f t="shared" si="11"/>
        <v/>
      </c>
      <c r="EJ121" s="332" t="s">
        <v>241</v>
      </c>
      <c r="EK121" s="333" t="str">
        <f t="shared" si="12"/>
        <v/>
      </c>
    </row>
    <row r="122" spans="63:141" x14ac:dyDescent="0.35">
      <c r="BK122" s="261"/>
      <c r="BL122" s="262"/>
      <c r="BM122" s="263"/>
      <c r="BN122" s="262"/>
      <c r="BO122" s="263"/>
      <c r="EE122" s="334" t="str">
        <f t="array" ref="EE122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/>
      </c>
      <c r="EF122" s="494" t="str">
        <f t="array" ref="EF122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/>
      </c>
      <c r="EG122" s="335" t="str">
        <f>IFERROR(IF('BHPC MANAGER'!$EE122="","",INDEX(inventory[ESISTENZA],MATCH('BHPC MANAGER'!$EE122,inventory[SKU],0))),0)</f>
        <v/>
      </c>
      <c r="EH122" s="336" t="s">
        <v>241</v>
      </c>
      <c r="EI122" s="336" t="str">
        <f t="shared" si="11"/>
        <v/>
      </c>
      <c r="EJ122" s="337" t="s">
        <v>241</v>
      </c>
      <c r="EK122" s="338" t="str">
        <f t="shared" si="12"/>
        <v/>
      </c>
    </row>
    <row r="123" spans="63:141" x14ac:dyDescent="0.35">
      <c r="BK123" s="261"/>
      <c r="BL123" s="262"/>
      <c r="BM123" s="263"/>
      <c r="BN123" s="262"/>
      <c r="BO123" s="263"/>
      <c r="EE123" s="329" t="str">
        <f t="array" ref="EE123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/>
      </c>
      <c r="EF123" s="493" t="str">
        <f t="array" ref="EF123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/>
      </c>
      <c r="EG123" s="330" t="str">
        <f>IFERROR(IF('BHPC MANAGER'!$EE123="","",INDEX(inventory[ESISTENZA],MATCH('BHPC MANAGER'!$EE123,inventory[SKU],0))),0)</f>
        <v/>
      </c>
      <c r="EH123" s="331" t="s">
        <v>241</v>
      </c>
      <c r="EI123" s="331" t="str">
        <f t="shared" si="11"/>
        <v/>
      </c>
      <c r="EJ123" s="332" t="s">
        <v>241</v>
      </c>
      <c r="EK123" s="333" t="str">
        <f t="shared" si="12"/>
        <v/>
      </c>
    </row>
    <row r="124" spans="63:141" x14ac:dyDescent="0.35">
      <c r="BK124" s="261"/>
      <c r="BL124" s="262"/>
      <c r="BM124" s="263"/>
      <c r="BN124" s="262"/>
      <c r="BO124" s="263"/>
      <c r="EE124" s="334" t="str">
        <f t="array" ref="EE124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/>
      </c>
      <c r="EF124" s="494" t="str">
        <f t="array" ref="EF124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/>
      </c>
      <c r="EG124" s="335" t="str">
        <f>IFERROR(IF('BHPC MANAGER'!$EE124="","",INDEX(inventory[ESISTENZA],MATCH('BHPC MANAGER'!$EE124,inventory[SKU],0))),0)</f>
        <v/>
      </c>
      <c r="EH124" s="336" t="s">
        <v>241</v>
      </c>
      <c r="EI124" s="336" t="str">
        <f t="shared" si="11"/>
        <v/>
      </c>
      <c r="EJ124" s="337" t="s">
        <v>241</v>
      </c>
      <c r="EK124" s="338" t="str">
        <f t="shared" si="12"/>
        <v/>
      </c>
    </row>
    <row r="125" spans="63:141" x14ac:dyDescent="0.35">
      <c r="BK125" s="261"/>
      <c r="BL125" s="262"/>
      <c r="BM125" s="263"/>
      <c r="BN125" s="262"/>
      <c r="BO125" s="263"/>
      <c r="EE125" s="329" t="str">
        <f t="array" ref="EE125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/>
      </c>
      <c r="EF125" s="493" t="str">
        <f t="array" ref="EF125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/>
      </c>
      <c r="EG125" s="330" t="str">
        <f>IFERROR(IF('BHPC MANAGER'!$EE125="","",INDEX(inventory[ESISTENZA],MATCH('BHPC MANAGER'!$EE125,inventory[SKU],0))),0)</f>
        <v/>
      </c>
      <c r="EH125" s="331" t="s">
        <v>241</v>
      </c>
      <c r="EI125" s="331" t="str">
        <f t="shared" si="11"/>
        <v/>
      </c>
      <c r="EJ125" s="332" t="s">
        <v>241</v>
      </c>
      <c r="EK125" s="333" t="str">
        <f t="shared" si="12"/>
        <v/>
      </c>
    </row>
    <row r="126" spans="63:141" x14ac:dyDescent="0.35">
      <c r="BK126" s="261"/>
      <c r="BL126" s="262"/>
      <c r="BM126" s="263"/>
      <c r="BN126" s="262"/>
      <c r="BO126" s="263"/>
      <c r="EE126" s="334" t="str">
        <f t="array" ref="EE126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/>
      </c>
      <c r="EF126" s="494" t="str">
        <f t="array" ref="EF126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/>
      </c>
      <c r="EG126" s="335" t="str">
        <f>IFERROR(IF('BHPC MANAGER'!$EE126="","",INDEX(inventory[ESISTENZA],MATCH('BHPC MANAGER'!$EE126,inventory[SKU],0))),0)</f>
        <v/>
      </c>
      <c r="EH126" s="336" t="s">
        <v>241</v>
      </c>
      <c r="EI126" s="336" t="str">
        <f t="shared" si="11"/>
        <v/>
      </c>
      <c r="EJ126" s="337" t="s">
        <v>241</v>
      </c>
      <c r="EK126" s="338" t="str">
        <f t="shared" si="12"/>
        <v/>
      </c>
    </row>
    <row r="127" spans="63:141" x14ac:dyDescent="0.35">
      <c r="BK127" s="261"/>
      <c r="BL127" s="262"/>
      <c r="BM127" s="263"/>
      <c r="BN127" s="262"/>
      <c r="BO127" s="263"/>
      <c r="EE127" s="329" t="str">
        <f t="array" ref="EE127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/>
      </c>
      <c r="EF127" s="493" t="str">
        <f t="array" ref="EF127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/>
      </c>
      <c r="EG127" s="330" t="str">
        <f>IFERROR(IF('BHPC MANAGER'!$EE127="","",INDEX(inventory[ESISTENZA],MATCH('BHPC MANAGER'!$EE127,inventory[SKU],0))),0)</f>
        <v/>
      </c>
      <c r="EH127" s="331" t="s">
        <v>241</v>
      </c>
      <c r="EI127" s="331" t="str">
        <f t="shared" si="11"/>
        <v/>
      </c>
      <c r="EJ127" s="332" t="s">
        <v>241</v>
      </c>
      <c r="EK127" s="333" t="str">
        <f t="shared" si="12"/>
        <v/>
      </c>
    </row>
    <row r="128" spans="63:141" x14ac:dyDescent="0.35">
      <c r="BK128" s="261"/>
      <c r="BL128" s="262"/>
      <c r="BM128" s="263"/>
      <c r="BN128" s="262"/>
      <c r="BO128" s="263"/>
      <c r="EE128" s="334" t="str">
        <f t="array" ref="EE128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/>
      </c>
      <c r="EF128" s="494" t="str">
        <f t="array" ref="EF128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/>
      </c>
      <c r="EG128" s="335" t="str">
        <f>IFERROR(IF('BHPC MANAGER'!$EE128="","",INDEX(inventory[ESISTENZA],MATCH('BHPC MANAGER'!$EE128,inventory[SKU],0))),0)</f>
        <v/>
      </c>
      <c r="EH128" s="336" t="s">
        <v>241</v>
      </c>
      <c r="EI128" s="336" t="str">
        <f t="shared" si="11"/>
        <v/>
      </c>
      <c r="EJ128" s="337" t="s">
        <v>241</v>
      </c>
      <c r="EK128" s="338" t="str">
        <f t="shared" si="12"/>
        <v/>
      </c>
    </row>
    <row r="129" spans="63:141" x14ac:dyDescent="0.35">
      <c r="BK129" s="261"/>
      <c r="BL129" s="262"/>
      <c r="BM129" s="263"/>
      <c r="BN129" s="262"/>
      <c r="BO129" s="263"/>
      <c r="EE129" s="329" t="str">
        <f t="array" ref="EE129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/>
      </c>
      <c r="EF129" s="493" t="str">
        <f t="array" ref="EF129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/>
      </c>
      <c r="EG129" s="330" t="str">
        <f>IFERROR(IF('BHPC MANAGER'!$EE129="","",INDEX(inventory[ESISTENZA],MATCH('BHPC MANAGER'!$EE129,inventory[SKU],0))),0)</f>
        <v/>
      </c>
      <c r="EH129" s="331" t="s">
        <v>241</v>
      </c>
      <c r="EI129" s="331" t="str">
        <f t="shared" si="11"/>
        <v/>
      </c>
      <c r="EJ129" s="332" t="s">
        <v>241</v>
      </c>
      <c r="EK129" s="333" t="str">
        <f t="shared" si="12"/>
        <v/>
      </c>
    </row>
    <row r="130" spans="63:141" x14ac:dyDescent="0.35">
      <c r="BK130" s="261"/>
      <c r="BL130" s="262"/>
      <c r="BM130" s="263"/>
      <c r="BN130" s="262"/>
      <c r="BO130" s="263"/>
      <c r="EE130" s="334" t="str">
        <f t="array" ref="EE130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/>
      </c>
      <c r="EF130" s="494" t="str">
        <f t="array" ref="EF130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/>
      </c>
      <c r="EG130" s="335" t="str">
        <f>IFERROR(IF('BHPC MANAGER'!$EE130="","",INDEX(inventory[ESISTENZA],MATCH('BHPC MANAGER'!$EE130,inventory[SKU],0))),0)</f>
        <v/>
      </c>
      <c r="EH130" s="336" t="s">
        <v>241</v>
      </c>
      <c r="EI130" s="336" t="str">
        <f t="shared" si="11"/>
        <v/>
      </c>
      <c r="EJ130" s="337" t="s">
        <v>241</v>
      </c>
      <c r="EK130" s="338" t="str">
        <f t="shared" si="12"/>
        <v/>
      </c>
    </row>
    <row r="131" spans="63:141" x14ac:dyDescent="0.35">
      <c r="BK131" s="261"/>
      <c r="BL131" s="262"/>
      <c r="BM131" s="263"/>
      <c r="BN131" s="262"/>
      <c r="BO131" s="263"/>
      <c r="EE131" s="329" t="str">
        <f t="array" ref="EE131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/>
      </c>
      <c r="EF131" s="493" t="str">
        <f t="array" ref="EF131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/>
      </c>
      <c r="EG131" s="330" t="str">
        <f>IFERROR(IF('BHPC MANAGER'!$EE131="","",INDEX(inventory[ESISTENZA],MATCH('BHPC MANAGER'!$EE131,inventory[SKU],0))),0)</f>
        <v/>
      </c>
      <c r="EH131" s="331" t="s">
        <v>241</v>
      </c>
      <c r="EI131" s="331" t="str">
        <f t="shared" si="11"/>
        <v/>
      </c>
      <c r="EJ131" s="332" t="s">
        <v>241</v>
      </c>
      <c r="EK131" s="333" t="str">
        <f t="shared" si="12"/>
        <v/>
      </c>
    </row>
    <row r="132" spans="63:141" x14ac:dyDescent="0.35">
      <c r="BK132" s="261"/>
      <c r="BL132" s="262"/>
      <c r="BM132" s="263"/>
      <c r="BN132" s="262"/>
      <c r="BO132" s="263"/>
      <c r="EE132" s="334" t="str">
        <f t="array" ref="EE132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/>
      </c>
      <c r="EF132" s="494" t="str">
        <f t="array" ref="EF132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/>
      </c>
      <c r="EG132" s="335" t="str">
        <f>IFERROR(IF('BHPC MANAGER'!$EE132="","",INDEX(inventory[ESISTENZA],MATCH('BHPC MANAGER'!$EE132,inventory[SKU],0))),0)</f>
        <v/>
      </c>
      <c r="EH132" s="336" t="s">
        <v>241</v>
      </c>
      <c r="EI132" s="336" t="str">
        <f t="shared" si="11"/>
        <v/>
      </c>
      <c r="EJ132" s="337" t="s">
        <v>241</v>
      </c>
      <c r="EK132" s="338" t="str">
        <f t="shared" si="12"/>
        <v/>
      </c>
    </row>
    <row r="133" spans="63:141" x14ac:dyDescent="0.35">
      <c r="BK133" s="261"/>
      <c r="BL133" s="262"/>
      <c r="BM133" s="263"/>
      <c r="BN133" s="262"/>
      <c r="BO133" s="263"/>
      <c r="EE133" s="329" t="str">
        <f t="array" ref="EE133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/>
      </c>
      <c r="EF133" s="493" t="str">
        <f t="array" ref="EF133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/>
      </c>
      <c r="EG133" s="330" t="str">
        <f>IFERROR(IF('BHPC MANAGER'!$EE133="","",INDEX(inventory[ESISTENZA],MATCH('BHPC MANAGER'!$EE133,inventory[SKU],0))),0)</f>
        <v/>
      </c>
      <c r="EH133" s="331" t="s">
        <v>241</v>
      </c>
      <c r="EI133" s="331" t="str">
        <f t="shared" si="11"/>
        <v/>
      </c>
      <c r="EJ133" s="332" t="s">
        <v>241</v>
      </c>
      <c r="EK133" s="333" t="str">
        <f t="shared" si="12"/>
        <v/>
      </c>
    </row>
    <row r="134" spans="63:141" x14ac:dyDescent="0.35">
      <c r="BK134" s="261"/>
      <c r="BL134" s="262"/>
      <c r="BM134" s="263"/>
      <c r="BN134" s="262"/>
      <c r="BO134" s="263"/>
      <c r="EE134" s="334" t="str">
        <f t="array" ref="EE134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/>
      </c>
      <c r="EF134" s="494" t="str">
        <f t="array" ref="EF134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/>
      </c>
      <c r="EG134" s="335" t="str">
        <f>IFERROR(IF('BHPC MANAGER'!$EE134="","",INDEX(inventory[ESISTENZA],MATCH('BHPC MANAGER'!$EE134,inventory[SKU],0))),0)</f>
        <v/>
      </c>
      <c r="EH134" s="336" t="s">
        <v>241</v>
      </c>
      <c r="EI134" s="336" t="str">
        <f t="shared" si="11"/>
        <v/>
      </c>
      <c r="EJ134" s="337" t="s">
        <v>241</v>
      </c>
      <c r="EK134" s="338" t="str">
        <f t="shared" si="12"/>
        <v/>
      </c>
    </row>
    <row r="135" spans="63:141" x14ac:dyDescent="0.35">
      <c r="BK135" s="261"/>
      <c r="BL135" s="262"/>
      <c r="BM135" s="263"/>
      <c r="BN135" s="262"/>
      <c r="BO135" s="263"/>
      <c r="EE135" s="329" t="str">
        <f t="array" ref="EE135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/>
      </c>
      <c r="EF135" s="493" t="str">
        <f t="array" ref="EF135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/>
      </c>
      <c r="EG135" s="330" t="str">
        <f>IFERROR(IF('BHPC MANAGER'!$EE135="","",INDEX(inventory[ESISTENZA],MATCH('BHPC MANAGER'!$EE135,inventory[SKU],0))),0)</f>
        <v/>
      </c>
      <c r="EH135" s="331" t="s">
        <v>241</v>
      </c>
      <c r="EI135" s="331" t="str">
        <f t="shared" si="11"/>
        <v/>
      </c>
      <c r="EJ135" s="332" t="s">
        <v>241</v>
      </c>
      <c r="EK135" s="333" t="str">
        <f t="shared" si="12"/>
        <v/>
      </c>
    </row>
    <row r="136" spans="63:141" x14ac:dyDescent="0.35">
      <c r="BK136" s="261"/>
      <c r="BL136" s="262"/>
      <c r="BM136" s="263"/>
      <c r="BN136" s="262"/>
      <c r="BO136" s="263"/>
      <c r="EE136" s="334" t="str">
        <f t="array" ref="EE136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/>
      </c>
      <c r="EF136" s="494" t="str">
        <f t="array" ref="EF136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/>
      </c>
      <c r="EG136" s="335" t="str">
        <f>IFERROR(IF('BHPC MANAGER'!$EE136="","",INDEX(inventory[ESISTENZA],MATCH('BHPC MANAGER'!$EE136,inventory[SKU],0))),0)</f>
        <v/>
      </c>
      <c r="EH136" s="336">
        <v>0</v>
      </c>
      <c r="EI136" s="336" t="str">
        <f t="shared" si="11"/>
        <v/>
      </c>
      <c r="EJ136" s="337">
        <v>0</v>
      </c>
      <c r="EK136" s="338" t="str">
        <f t="shared" si="12"/>
        <v/>
      </c>
    </row>
    <row r="137" spans="63:141" x14ac:dyDescent="0.35">
      <c r="BK137" s="261"/>
      <c r="BL137" s="262"/>
      <c r="BM137" s="263"/>
      <c r="BN137" s="262"/>
      <c r="BO137" s="263"/>
      <c r="EE137" s="329" t="str">
        <f t="array" ref="EE137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/>
      </c>
      <c r="EF137" s="493" t="str">
        <f t="array" ref="EF137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/>
      </c>
      <c r="EG137" s="330" t="str">
        <f>IFERROR(IF('BHPC MANAGER'!$EE137="","",INDEX(inventory[ESISTENZA],MATCH('BHPC MANAGER'!$EE137,inventory[SKU],0))),0)</f>
        <v/>
      </c>
      <c r="EH137" s="331" t="s">
        <v>241</v>
      </c>
      <c r="EI137" s="331" t="str">
        <f t="shared" ref="EI137:EI200" si="13">IF(EE137="","",IFERROR(EG137+EH137,EG137))</f>
        <v/>
      </c>
      <c r="EJ137" s="332" t="s">
        <v>241</v>
      </c>
      <c r="EK137" s="333" t="str">
        <f t="shared" ref="EK137:EK200" si="14">IF(EE137="","",IFERROR(EI137+EJ137,EI137))</f>
        <v/>
      </c>
    </row>
    <row r="138" spans="63:141" x14ac:dyDescent="0.35">
      <c r="BK138" s="261"/>
      <c r="BL138" s="262"/>
      <c r="BM138" s="263"/>
      <c r="BN138" s="262"/>
      <c r="BO138" s="263"/>
      <c r="EE138" s="334" t="str">
        <f t="array" ref="EE138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/>
      </c>
      <c r="EF138" s="494" t="str">
        <f t="array" ref="EF138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/>
      </c>
      <c r="EG138" s="335" t="str">
        <f>IFERROR(IF('BHPC MANAGER'!$EE138="","",INDEX(inventory[ESISTENZA],MATCH('BHPC MANAGER'!$EE138,inventory[SKU],0))),0)</f>
        <v/>
      </c>
      <c r="EH138" s="336" t="s">
        <v>241</v>
      </c>
      <c r="EI138" s="336" t="str">
        <f t="shared" si="13"/>
        <v/>
      </c>
      <c r="EJ138" s="337" t="s">
        <v>241</v>
      </c>
      <c r="EK138" s="338" t="str">
        <f t="shared" si="14"/>
        <v/>
      </c>
    </row>
    <row r="139" spans="63:141" x14ac:dyDescent="0.35">
      <c r="BK139" s="261"/>
      <c r="BL139" s="262"/>
      <c r="BM139" s="263"/>
      <c r="BN139" s="262"/>
      <c r="BO139" s="263"/>
      <c r="EE139" s="329" t="str">
        <f t="array" ref="EE139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/>
      </c>
      <c r="EF139" s="493" t="str">
        <f t="array" ref="EF139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/>
      </c>
      <c r="EG139" s="330" t="str">
        <f>IFERROR(IF('BHPC MANAGER'!$EE139="","",INDEX(inventory[ESISTENZA],MATCH('BHPC MANAGER'!$EE139,inventory[SKU],0))),0)</f>
        <v/>
      </c>
      <c r="EH139" s="331" t="s">
        <v>241</v>
      </c>
      <c r="EI139" s="331" t="str">
        <f t="shared" si="13"/>
        <v/>
      </c>
      <c r="EJ139" s="332" t="s">
        <v>241</v>
      </c>
      <c r="EK139" s="333" t="str">
        <f t="shared" si="14"/>
        <v/>
      </c>
    </row>
    <row r="140" spans="63:141" x14ac:dyDescent="0.35">
      <c r="BK140" s="261"/>
      <c r="BL140" s="262"/>
      <c r="BM140" s="263"/>
      <c r="BN140" s="262"/>
      <c r="BO140" s="263"/>
      <c r="EE140" s="334" t="str">
        <f t="array" ref="EE140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/>
      </c>
      <c r="EF140" s="494" t="str">
        <f t="array" ref="EF140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/>
      </c>
      <c r="EG140" s="335" t="str">
        <f>IFERROR(IF('BHPC MANAGER'!$EE140="","",INDEX(inventory[ESISTENZA],MATCH('BHPC MANAGER'!$EE140,inventory[SKU],0))),0)</f>
        <v/>
      </c>
      <c r="EH140" s="336" t="s">
        <v>241</v>
      </c>
      <c r="EI140" s="336" t="str">
        <f t="shared" si="13"/>
        <v/>
      </c>
      <c r="EJ140" s="337" t="s">
        <v>241</v>
      </c>
      <c r="EK140" s="338" t="str">
        <f t="shared" si="14"/>
        <v/>
      </c>
    </row>
    <row r="141" spans="63:141" x14ac:dyDescent="0.35">
      <c r="BK141" s="261"/>
      <c r="BL141" s="262"/>
      <c r="BM141" s="263"/>
      <c r="BN141" s="262"/>
      <c r="BO141" s="263"/>
      <c r="EE141" s="329" t="str">
        <f t="array" ref="EE141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/>
      </c>
      <c r="EF141" s="493" t="str">
        <f t="array" ref="EF141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/>
      </c>
      <c r="EG141" s="330" t="str">
        <f>IFERROR(IF('BHPC MANAGER'!$EE141="","",INDEX(inventory[ESISTENZA],MATCH('BHPC MANAGER'!$EE141,inventory[SKU],0))),0)</f>
        <v/>
      </c>
      <c r="EH141" s="331" t="s">
        <v>241</v>
      </c>
      <c r="EI141" s="331" t="str">
        <f t="shared" si="13"/>
        <v/>
      </c>
      <c r="EJ141" s="332" t="s">
        <v>241</v>
      </c>
      <c r="EK141" s="333" t="str">
        <f t="shared" si="14"/>
        <v/>
      </c>
    </row>
    <row r="142" spans="63:141" x14ac:dyDescent="0.35">
      <c r="BK142" s="261"/>
      <c r="BL142" s="262"/>
      <c r="BM142" s="263"/>
      <c r="BN142" s="262"/>
      <c r="BO142" s="263"/>
      <c r="EE142" s="334" t="str">
        <f t="array" ref="EE142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/>
      </c>
      <c r="EF142" s="494" t="str">
        <f t="array" ref="EF142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/>
      </c>
      <c r="EG142" s="335" t="str">
        <f>IFERROR(IF('BHPC MANAGER'!$EE142="","",INDEX(inventory[ESISTENZA],MATCH('BHPC MANAGER'!$EE142,inventory[SKU],0))),0)</f>
        <v/>
      </c>
      <c r="EH142" s="336" t="s">
        <v>241</v>
      </c>
      <c r="EI142" s="336" t="str">
        <f t="shared" si="13"/>
        <v/>
      </c>
      <c r="EJ142" s="337" t="s">
        <v>241</v>
      </c>
      <c r="EK142" s="338" t="str">
        <f t="shared" si="14"/>
        <v/>
      </c>
    </row>
    <row r="143" spans="63:141" x14ac:dyDescent="0.35">
      <c r="BK143" s="261"/>
      <c r="BL143" s="262"/>
      <c r="BM143" s="263"/>
      <c r="BN143" s="262"/>
      <c r="BO143" s="263"/>
      <c r="EE143" s="329" t="str">
        <f t="array" ref="EE143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/>
      </c>
      <c r="EF143" s="493" t="str">
        <f t="array" ref="EF143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/>
      </c>
      <c r="EG143" s="330" t="str">
        <f>IFERROR(IF('BHPC MANAGER'!$EE143="","",INDEX(inventory[ESISTENZA],MATCH('BHPC MANAGER'!$EE143,inventory[SKU],0))),0)</f>
        <v/>
      </c>
      <c r="EH143" s="331" t="s">
        <v>241</v>
      </c>
      <c r="EI143" s="331" t="str">
        <f t="shared" si="13"/>
        <v/>
      </c>
      <c r="EJ143" s="332" t="s">
        <v>241</v>
      </c>
      <c r="EK143" s="333" t="str">
        <f t="shared" si="14"/>
        <v/>
      </c>
    </row>
    <row r="144" spans="63:141" x14ac:dyDescent="0.35">
      <c r="BK144" s="261"/>
      <c r="BL144" s="262"/>
      <c r="BM144" s="263"/>
      <c r="BN144" s="262"/>
      <c r="BO144" s="263"/>
      <c r="EE144" s="334" t="str">
        <f t="array" ref="EE144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/>
      </c>
      <c r="EF144" s="494" t="str">
        <f t="array" ref="EF144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/>
      </c>
      <c r="EG144" s="335" t="str">
        <f>IFERROR(IF('BHPC MANAGER'!$EE144="","",INDEX(inventory[ESISTENZA],MATCH('BHPC MANAGER'!$EE144,inventory[SKU],0))),0)</f>
        <v/>
      </c>
      <c r="EH144" s="336" t="s">
        <v>241</v>
      </c>
      <c r="EI144" s="336" t="str">
        <f t="shared" si="13"/>
        <v/>
      </c>
      <c r="EJ144" s="337" t="s">
        <v>241</v>
      </c>
      <c r="EK144" s="338" t="str">
        <f t="shared" si="14"/>
        <v/>
      </c>
    </row>
    <row r="145" spans="63:141" x14ac:dyDescent="0.35">
      <c r="BK145" s="261"/>
      <c r="BL145" s="262"/>
      <c r="BM145" s="263"/>
      <c r="BN145" s="262"/>
      <c r="BO145" s="263"/>
      <c r="EE145" s="329" t="str">
        <f t="array" ref="EE145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/>
      </c>
      <c r="EF145" s="493" t="str">
        <f t="array" ref="EF145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/>
      </c>
      <c r="EG145" s="330" t="str">
        <f>IFERROR(IF('BHPC MANAGER'!$EE145="","",INDEX(inventory[ESISTENZA],MATCH('BHPC MANAGER'!$EE145,inventory[SKU],0))),0)</f>
        <v/>
      </c>
      <c r="EH145" s="331" t="s">
        <v>241</v>
      </c>
      <c r="EI145" s="331" t="str">
        <f t="shared" si="13"/>
        <v/>
      </c>
      <c r="EJ145" s="332" t="s">
        <v>241</v>
      </c>
      <c r="EK145" s="333" t="str">
        <f t="shared" si="14"/>
        <v/>
      </c>
    </row>
    <row r="146" spans="63:141" x14ac:dyDescent="0.35">
      <c r="BK146" s="261"/>
      <c r="BL146" s="262"/>
      <c r="BM146" s="263"/>
      <c r="BN146" s="262"/>
      <c r="BO146" s="263"/>
      <c r="EE146" s="334" t="str">
        <f t="array" ref="EE146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/>
      </c>
      <c r="EF146" s="494" t="str">
        <f t="array" ref="EF146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/>
      </c>
      <c r="EG146" s="335" t="str">
        <f>IFERROR(IF('BHPC MANAGER'!$EE146="","",INDEX(inventory[ESISTENZA],MATCH('BHPC MANAGER'!$EE146,inventory[SKU],0))),0)</f>
        <v/>
      </c>
      <c r="EH146" s="336" t="s">
        <v>241</v>
      </c>
      <c r="EI146" s="336" t="str">
        <f t="shared" si="13"/>
        <v/>
      </c>
      <c r="EJ146" s="337" t="s">
        <v>241</v>
      </c>
      <c r="EK146" s="338" t="str">
        <f t="shared" si="14"/>
        <v/>
      </c>
    </row>
    <row r="147" spans="63:141" x14ac:dyDescent="0.35">
      <c r="BK147" s="261"/>
      <c r="BL147" s="262"/>
      <c r="BM147" s="263"/>
      <c r="BN147" s="262"/>
      <c r="BO147" s="263"/>
      <c r="EE147" s="329" t="str">
        <f t="array" ref="EE147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/>
      </c>
      <c r="EF147" s="493" t="str">
        <f t="array" ref="EF147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/>
      </c>
      <c r="EG147" s="330" t="str">
        <f>IFERROR(IF('BHPC MANAGER'!$EE147="","",INDEX(inventory[ESISTENZA],MATCH('BHPC MANAGER'!$EE147,inventory[SKU],0))),0)</f>
        <v/>
      </c>
      <c r="EH147" s="331" t="s">
        <v>241</v>
      </c>
      <c r="EI147" s="331" t="str">
        <f t="shared" si="13"/>
        <v/>
      </c>
      <c r="EJ147" s="332" t="s">
        <v>241</v>
      </c>
      <c r="EK147" s="333" t="str">
        <f t="shared" si="14"/>
        <v/>
      </c>
    </row>
    <row r="148" spans="63:141" x14ac:dyDescent="0.35">
      <c r="BK148" s="261"/>
      <c r="BL148" s="262"/>
      <c r="BM148" s="263"/>
      <c r="BN148" s="262"/>
      <c r="BO148" s="263"/>
      <c r="EE148" s="334" t="str">
        <f t="array" ref="EE148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/>
      </c>
      <c r="EF148" s="494" t="str">
        <f t="array" ref="EF148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/>
      </c>
      <c r="EG148" s="335" t="str">
        <f>IFERROR(IF('BHPC MANAGER'!$EE148="","",INDEX(inventory[ESISTENZA],MATCH('BHPC MANAGER'!$EE148,inventory[SKU],0))),0)</f>
        <v/>
      </c>
      <c r="EH148" s="336" t="s">
        <v>241</v>
      </c>
      <c r="EI148" s="336" t="str">
        <f t="shared" si="13"/>
        <v/>
      </c>
      <c r="EJ148" s="337" t="s">
        <v>241</v>
      </c>
      <c r="EK148" s="338" t="str">
        <f t="shared" si="14"/>
        <v/>
      </c>
    </row>
    <row r="149" spans="63:141" x14ac:dyDescent="0.35">
      <c r="BK149" s="261"/>
      <c r="BL149" s="262"/>
      <c r="BM149" s="263"/>
      <c r="BN149" s="262"/>
      <c r="BO149" s="263"/>
      <c r="EE149" s="329" t="str">
        <f t="array" ref="EE149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/>
      </c>
      <c r="EF149" s="493" t="str">
        <f t="array" ref="EF149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/>
      </c>
      <c r="EG149" s="330" t="str">
        <f>IFERROR(IF('BHPC MANAGER'!$EE149="","",INDEX(inventory[ESISTENZA],MATCH('BHPC MANAGER'!$EE149,inventory[SKU],0))),0)</f>
        <v/>
      </c>
      <c r="EH149" s="331" t="s">
        <v>241</v>
      </c>
      <c r="EI149" s="331" t="str">
        <f t="shared" si="13"/>
        <v/>
      </c>
      <c r="EJ149" s="332" t="s">
        <v>241</v>
      </c>
      <c r="EK149" s="333" t="str">
        <f t="shared" si="14"/>
        <v/>
      </c>
    </row>
    <row r="150" spans="63:141" x14ac:dyDescent="0.35">
      <c r="BK150" s="261"/>
      <c r="BL150" s="262"/>
      <c r="BM150" s="263"/>
      <c r="BN150" s="262"/>
      <c r="BO150" s="263"/>
      <c r="EE150" s="334" t="str">
        <f t="array" ref="EE150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/>
      </c>
      <c r="EF150" s="494" t="str">
        <f t="array" ref="EF150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/>
      </c>
      <c r="EG150" s="335" t="str">
        <f>IFERROR(IF('BHPC MANAGER'!$EE150="","",INDEX(inventory[ESISTENZA],MATCH('BHPC MANAGER'!$EE150,inventory[SKU],0))),0)</f>
        <v/>
      </c>
      <c r="EH150" s="336" t="s">
        <v>241</v>
      </c>
      <c r="EI150" s="336" t="str">
        <f t="shared" si="13"/>
        <v/>
      </c>
      <c r="EJ150" s="337" t="s">
        <v>241</v>
      </c>
      <c r="EK150" s="338" t="str">
        <f t="shared" si="14"/>
        <v/>
      </c>
    </row>
    <row r="151" spans="63:141" x14ac:dyDescent="0.35">
      <c r="BK151" s="261"/>
      <c r="BL151" s="262"/>
      <c r="BM151" s="263"/>
      <c r="BN151" s="262"/>
      <c r="BO151" s="263"/>
      <c r="EE151" s="329" t="str">
        <f t="array" ref="EE151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/>
      </c>
      <c r="EF151" s="493" t="str">
        <f t="array" ref="EF151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/>
      </c>
      <c r="EG151" s="330" t="str">
        <f>IFERROR(IF('BHPC MANAGER'!$EE151="","",INDEX(inventory[ESISTENZA],MATCH('BHPC MANAGER'!$EE151,inventory[SKU],0))),0)</f>
        <v/>
      </c>
      <c r="EH151" s="331" t="s">
        <v>241</v>
      </c>
      <c r="EI151" s="331" t="str">
        <f t="shared" si="13"/>
        <v/>
      </c>
      <c r="EJ151" s="332" t="s">
        <v>241</v>
      </c>
      <c r="EK151" s="333" t="str">
        <f t="shared" si="14"/>
        <v/>
      </c>
    </row>
    <row r="152" spans="63:141" x14ac:dyDescent="0.35">
      <c r="BK152" s="261"/>
      <c r="BL152" s="262"/>
      <c r="BM152" s="263"/>
      <c r="BN152" s="262"/>
      <c r="BO152" s="263"/>
      <c r="EE152" s="334" t="str">
        <f t="array" ref="EE152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/>
      </c>
      <c r="EF152" s="494" t="str">
        <f t="array" ref="EF152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/>
      </c>
      <c r="EG152" s="335" t="str">
        <f>IFERROR(IF('BHPC MANAGER'!$EE152="","",INDEX(inventory[ESISTENZA],MATCH('BHPC MANAGER'!$EE152,inventory[SKU],0))),0)</f>
        <v/>
      </c>
      <c r="EH152" s="336" t="s">
        <v>241</v>
      </c>
      <c r="EI152" s="336" t="str">
        <f t="shared" si="13"/>
        <v/>
      </c>
      <c r="EJ152" s="337" t="s">
        <v>241</v>
      </c>
      <c r="EK152" s="338" t="str">
        <f t="shared" si="14"/>
        <v/>
      </c>
    </row>
    <row r="153" spans="63:141" x14ac:dyDescent="0.35">
      <c r="BK153" s="261"/>
      <c r="BL153" s="262"/>
      <c r="BM153" s="263"/>
      <c r="BN153" s="262"/>
      <c r="BO153" s="263"/>
      <c r="EE153" s="329" t="str">
        <f t="array" ref="EE153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/>
      </c>
      <c r="EF153" s="493" t="str">
        <f t="array" ref="EF153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/>
      </c>
      <c r="EG153" s="330" t="str">
        <f>IFERROR(IF('BHPC MANAGER'!$EE153="","",INDEX(inventory[ESISTENZA],MATCH('BHPC MANAGER'!$EE153,inventory[SKU],0))),0)</f>
        <v/>
      </c>
      <c r="EH153" s="331" t="s">
        <v>241</v>
      </c>
      <c r="EI153" s="331" t="str">
        <f t="shared" si="13"/>
        <v/>
      </c>
      <c r="EJ153" s="332" t="s">
        <v>241</v>
      </c>
      <c r="EK153" s="333" t="str">
        <f t="shared" si="14"/>
        <v/>
      </c>
    </row>
    <row r="154" spans="63:141" x14ac:dyDescent="0.35">
      <c r="BK154" s="261"/>
      <c r="BL154" s="262"/>
      <c r="BM154" s="263"/>
      <c r="BN154" s="262"/>
      <c r="BO154" s="263"/>
      <c r="EE154" s="334" t="str">
        <f t="array" ref="EE154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/>
      </c>
      <c r="EF154" s="494" t="str">
        <f t="array" ref="EF154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/>
      </c>
      <c r="EG154" s="335" t="str">
        <f>IFERROR(IF('BHPC MANAGER'!$EE154="","",INDEX(inventory[ESISTENZA],MATCH('BHPC MANAGER'!$EE154,inventory[SKU],0))),0)</f>
        <v/>
      </c>
      <c r="EH154" s="336" t="s">
        <v>241</v>
      </c>
      <c r="EI154" s="336" t="str">
        <f t="shared" si="13"/>
        <v/>
      </c>
      <c r="EJ154" s="337" t="s">
        <v>241</v>
      </c>
      <c r="EK154" s="338" t="str">
        <f t="shared" si="14"/>
        <v/>
      </c>
    </row>
    <row r="155" spans="63:141" x14ac:dyDescent="0.35">
      <c r="BK155" s="261"/>
      <c r="BL155" s="262"/>
      <c r="BM155" s="263"/>
      <c r="BN155" s="262"/>
      <c r="BO155" s="263"/>
      <c r="EE155" s="329" t="str">
        <f t="array" ref="EE155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/>
      </c>
      <c r="EF155" s="493" t="str">
        <f t="array" ref="EF155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/>
      </c>
      <c r="EG155" s="330" t="str">
        <f>IFERROR(IF('BHPC MANAGER'!$EE155="","",INDEX(inventory[ESISTENZA],MATCH('BHPC MANAGER'!$EE155,inventory[SKU],0))),0)</f>
        <v/>
      </c>
      <c r="EH155" s="331" t="s">
        <v>241</v>
      </c>
      <c r="EI155" s="331" t="str">
        <f t="shared" si="13"/>
        <v/>
      </c>
      <c r="EJ155" s="332" t="s">
        <v>241</v>
      </c>
      <c r="EK155" s="333" t="str">
        <f t="shared" si="14"/>
        <v/>
      </c>
    </row>
    <row r="156" spans="63:141" x14ac:dyDescent="0.35">
      <c r="BK156" s="261"/>
      <c r="BL156" s="262"/>
      <c r="BM156" s="263"/>
      <c r="BN156" s="262"/>
      <c r="BO156" s="263"/>
      <c r="EE156" s="334" t="str">
        <f t="array" ref="EE156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/>
      </c>
      <c r="EF156" s="494" t="str">
        <f t="array" ref="EF156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/>
      </c>
      <c r="EG156" s="335" t="str">
        <f>IFERROR(IF('BHPC MANAGER'!$EE156="","",INDEX(inventory[ESISTENZA],MATCH('BHPC MANAGER'!$EE156,inventory[SKU],0))),0)</f>
        <v/>
      </c>
      <c r="EH156" s="336" t="s">
        <v>241</v>
      </c>
      <c r="EI156" s="336" t="str">
        <f t="shared" si="13"/>
        <v/>
      </c>
      <c r="EJ156" s="337" t="s">
        <v>241</v>
      </c>
      <c r="EK156" s="338" t="str">
        <f t="shared" si="14"/>
        <v/>
      </c>
    </row>
    <row r="157" spans="63:141" x14ac:dyDescent="0.35">
      <c r="BK157" s="261"/>
      <c r="BL157" s="262"/>
      <c r="BM157" s="263"/>
      <c r="BN157" s="262"/>
      <c r="BO157" s="263"/>
      <c r="EE157" s="329" t="str">
        <f t="array" ref="EE157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/>
      </c>
      <c r="EF157" s="493" t="str">
        <f t="array" ref="EF157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/>
      </c>
      <c r="EG157" s="330" t="str">
        <f>IFERROR(IF('BHPC MANAGER'!$EE157="","",INDEX(inventory[ESISTENZA],MATCH('BHPC MANAGER'!$EE157,inventory[SKU],0))),0)</f>
        <v/>
      </c>
      <c r="EH157" s="331" t="s">
        <v>241</v>
      </c>
      <c r="EI157" s="331" t="str">
        <f t="shared" si="13"/>
        <v/>
      </c>
      <c r="EJ157" s="332" t="s">
        <v>241</v>
      </c>
      <c r="EK157" s="333" t="str">
        <f t="shared" si="14"/>
        <v/>
      </c>
    </row>
    <row r="158" spans="63:141" x14ac:dyDescent="0.35">
      <c r="BK158" s="261"/>
      <c r="BL158" s="262"/>
      <c r="BM158" s="263"/>
      <c r="BN158" s="262"/>
      <c r="BO158" s="263"/>
      <c r="EE158" s="334" t="str">
        <f t="array" ref="EE158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/>
      </c>
      <c r="EF158" s="494" t="str">
        <f t="array" ref="EF158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/>
      </c>
      <c r="EG158" s="335" t="str">
        <f>IFERROR(IF('BHPC MANAGER'!$EE158="","",INDEX(inventory[ESISTENZA],MATCH('BHPC MANAGER'!$EE158,inventory[SKU],0))),0)</f>
        <v/>
      </c>
      <c r="EH158" s="336" t="s">
        <v>241</v>
      </c>
      <c r="EI158" s="336" t="str">
        <f t="shared" si="13"/>
        <v/>
      </c>
      <c r="EJ158" s="337" t="s">
        <v>241</v>
      </c>
      <c r="EK158" s="338" t="str">
        <f t="shared" si="14"/>
        <v/>
      </c>
    </row>
    <row r="159" spans="63:141" x14ac:dyDescent="0.35">
      <c r="BK159" s="261"/>
      <c r="BL159" s="262"/>
      <c r="BM159" s="263"/>
      <c r="BN159" s="262"/>
      <c r="BO159" s="263"/>
      <c r="EE159" s="329" t="str">
        <f t="array" ref="EE159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/>
      </c>
      <c r="EF159" s="493" t="str">
        <f t="array" ref="EF159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/>
      </c>
      <c r="EG159" s="330" t="str">
        <f>IFERROR(IF('BHPC MANAGER'!$EE159="","",INDEX(inventory[ESISTENZA],MATCH('BHPC MANAGER'!$EE159,inventory[SKU],0))),0)</f>
        <v/>
      </c>
      <c r="EH159" s="331" t="s">
        <v>241</v>
      </c>
      <c r="EI159" s="331" t="str">
        <f t="shared" si="13"/>
        <v/>
      </c>
      <c r="EJ159" s="332" t="s">
        <v>241</v>
      </c>
      <c r="EK159" s="333" t="str">
        <f t="shared" si="14"/>
        <v/>
      </c>
    </row>
    <row r="160" spans="63:141" x14ac:dyDescent="0.35">
      <c r="BK160" s="261"/>
      <c r="BL160" s="262"/>
      <c r="BM160" s="263"/>
      <c r="BN160" s="262"/>
      <c r="BO160" s="263"/>
      <c r="EE160" s="334" t="str">
        <f t="array" ref="EE160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/>
      </c>
      <c r="EF160" s="494" t="str">
        <f t="array" ref="EF160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/>
      </c>
      <c r="EG160" s="335" t="str">
        <f>IFERROR(IF('BHPC MANAGER'!$EE160="","",INDEX(inventory[ESISTENZA],MATCH('BHPC MANAGER'!$EE160,inventory[SKU],0))),0)</f>
        <v/>
      </c>
      <c r="EH160" s="336" t="s">
        <v>241</v>
      </c>
      <c r="EI160" s="336" t="str">
        <f t="shared" si="13"/>
        <v/>
      </c>
      <c r="EJ160" s="337" t="s">
        <v>241</v>
      </c>
      <c r="EK160" s="338" t="str">
        <f t="shared" si="14"/>
        <v/>
      </c>
    </row>
    <row r="161" spans="63:141" x14ac:dyDescent="0.35">
      <c r="BK161" s="261"/>
      <c r="BL161" s="262"/>
      <c r="BM161" s="263"/>
      <c r="BN161" s="262"/>
      <c r="BO161" s="263"/>
      <c r="EE161" s="329" t="str">
        <f t="array" ref="EE161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/>
      </c>
      <c r="EF161" s="493" t="str">
        <f t="array" ref="EF161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/>
      </c>
      <c r="EG161" s="330" t="str">
        <f>IFERROR(IF('BHPC MANAGER'!$EE161="","",INDEX(inventory[ESISTENZA],MATCH('BHPC MANAGER'!$EE161,inventory[SKU],0))),0)</f>
        <v/>
      </c>
      <c r="EH161" s="331" t="s">
        <v>241</v>
      </c>
      <c r="EI161" s="331" t="str">
        <f t="shared" si="13"/>
        <v/>
      </c>
      <c r="EJ161" s="332" t="s">
        <v>241</v>
      </c>
      <c r="EK161" s="333" t="str">
        <f t="shared" si="14"/>
        <v/>
      </c>
    </row>
    <row r="162" spans="63:141" x14ac:dyDescent="0.35">
      <c r="BK162" s="261"/>
      <c r="BL162" s="262"/>
      <c r="BM162" s="263"/>
      <c r="BN162" s="262"/>
      <c r="BO162" s="263"/>
      <c r="EE162" s="334" t="str">
        <f t="array" ref="EE162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/>
      </c>
      <c r="EF162" s="494" t="str">
        <f t="array" ref="EF162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/>
      </c>
      <c r="EG162" s="335" t="str">
        <f>IFERROR(IF('BHPC MANAGER'!$EE162="","",INDEX(inventory[ESISTENZA],MATCH('BHPC MANAGER'!$EE162,inventory[SKU],0))),0)</f>
        <v/>
      </c>
      <c r="EH162" s="336" t="s">
        <v>241</v>
      </c>
      <c r="EI162" s="336" t="str">
        <f t="shared" si="13"/>
        <v/>
      </c>
      <c r="EJ162" s="337" t="s">
        <v>241</v>
      </c>
      <c r="EK162" s="338" t="str">
        <f t="shared" si="14"/>
        <v/>
      </c>
    </row>
    <row r="163" spans="63:141" x14ac:dyDescent="0.35">
      <c r="BK163" s="261"/>
      <c r="BL163" s="262"/>
      <c r="BM163" s="263"/>
      <c r="BN163" s="262"/>
      <c r="BO163" s="263"/>
      <c r="EE163" s="329" t="str">
        <f t="array" ref="EE163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/>
      </c>
      <c r="EF163" s="493" t="str">
        <f t="array" ref="EF163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/>
      </c>
      <c r="EG163" s="330" t="str">
        <f>IFERROR(IF('BHPC MANAGER'!$EE163="","",INDEX(inventory[ESISTENZA],MATCH('BHPC MANAGER'!$EE163,inventory[SKU],0))),0)</f>
        <v/>
      </c>
      <c r="EH163" s="331" t="s">
        <v>241</v>
      </c>
      <c r="EI163" s="331" t="str">
        <f t="shared" si="13"/>
        <v/>
      </c>
      <c r="EJ163" s="332" t="s">
        <v>241</v>
      </c>
      <c r="EK163" s="333" t="str">
        <f t="shared" si="14"/>
        <v/>
      </c>
    </row>
    <row r="164" spans="63:141" x14ac:dyDescent="0.35">
      <c r="BK164" s="261"/>
      <c r="BL164" s="262"/>
      <c r="BM164" s="263"/>
      <c r="BN164" s="262"/>
      <c r="BO164" s="263"/>
      <c r="EE164" s="334" t="str">
        <f t="array" ref="EE164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/>
      </c>
      <c r="EF164" s="494" t="str">
        <f t="array" ref="EF164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/>
      </c>
      <c r="EG164" s="335" t="str">
        <f>IFERROR(IF('BHPC MANAGER'!$EE164="","",INDEX(inventory[ESISTENZA],MATCH('BHPC MANAGER'!$EE164,inventory[SKU],0))),0)</f>
        <v/>
      </c>
      <c r="EH164" s="336" t="s">
        <v>241</v>
      </c>
      <c r="EI164" s="336" t="str">
        <f t="shared" si="13"/>
        <v/>
      </c>
      <c r="EJ164" s="337" t="s">
        <v>241</v>
      </c>
      <c r="EK164" s="338" t="str">
        <f t="shared" si="14"/>
        <v/>
      </c>
    </row>
    <row r="165" spans="63:141" x14ac:dyDescent="0.35">
      <c r="BK165" s="261"/>
      <c r="BL165" s="262"/>
      <c r="BM165" s="263"/>
      <c r="BN165" s="262"/>
      <c r="BO165" s="263"/>
      <c r="EE165" s="329" t="str">
        <f t="array" ref="EE165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/>
      </c>
      <c r="EF165" s="493" t="str">
        <f t="array" ref="EF165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/>
      </c>
      <c r="EG165" s="330" t="str">
        <f>IFERROR(IF('BHPC MANAGER'!$EE165="","",INDEX(inventory[ESISTENZA],MATCH('BHPC MANAGER'!$EE165,inventory[SKU],0))),0)</f>
        <v/>
      </c>
      <c r="EH165" s="331" t="s">
        <v>241</v>
      </c>
      <c r="EI165" s="331" t="str">
        <f t="shared" si="13"/>
        <v/>
      </c>
      <c r="EJ165" s="332" t="s">
        <v>241</v>
      </c>
      <c r="EK165" s="333" t="str">
        <f t="shared" si="14"/>
        <v/>
      </c>
    </row>
    <row r="166" spans="63:141" x14ac:dyDescent="0.35">
      <c r="BK166" s="261"/>
      <c r="BL166" s="262"/>
      <c r="BM166" s="263"/>
      <c r="BN166" s="262"/>
      <c r="BO166" s="263"/>
      <c r="EE166" s="334" t="str">
        <f t="array" ref="EE166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/>
      </c>
      <c r="EF166" s="494" t="str">
        <f t="array" ref="EF166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/>
      </c>
      <c r="EG166" s="335" t="str">
        <f>IFERROR(IF('BHPC MANAGER'!$EE166="","",INDEX(inventory[ESISTENZA],MATCH('BHPC MANAGER'!$EE166,inventory[SKU],0))),0)</f>
        <v/>
      </c>
      <c r="EH166" s="336" t="s">
        <v>241</v>
      </c>
      <c r="EI166" s="336" t="str">
        <f t="shared" si="13"/>
        <v/>
      </c>
      <c r="EJ166" s="337" t="s">
        <v>241</v>
      </c>
      <c r="EK166" s="338" t="str">
        <f t="shared" si="14"/>
        <v/>
      </c>
    </row>
    <row r="167" spans="63:141" x14ac:dyDescent="0.35">
      <c r="BK167" s="261"/>
      <c r="BL167" s="262"/>
      <c r="BM167" s="263"/>
      <c r="BN167" s="262"/>
      <c r="BO167" s="263"/>
      <c r="EE167" s="329" t="str">
        <f t="array" ref="EE167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/>
      </c>
      <c r="EF167" s="493" t="str">
        <f t="array" ref="EF167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/>
      </c>
      <c r="EG167" s="330" t="str">
        <f>IFERROR(IF('BHPC MANAGER'!$EE167="","",INDEX(inventory[ESISTENZA],MATCH('BHPC MANAGER'!$EE167,inventory[SKU],0))),0)</f>
        <v/>
      </c>
      <c r="EH167" s="331" t="s">
        <v>241</v>
      </c>
      <c r="EI167" s="331" t="str">
        <f t="shared" si="13"/>
        <v/>
      </c>
      <c r="EJ167" s="332" t="s">
        <v>241</v>
      </c>
      <c r="EK167" s="333" t="str">
        <f t="shared" si="14"/>
        <v/>
      </c>
    </row>
    <row r="168" spans="63:141" x14ac:dyDescent="0.35">
      <c r="BK168" s="261"/>
      <c r="BL168" s="262"/>
      <c r="BM168" s="263"/>
      <c r="BN168" s="262"/>
      <c r="BO168" s="263"/>
      <c r="EE168" s="334" t="str">
        <f t="array" ref="EE168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/>
      </c>
      <c r="EF168" s="494" t="str">
        <f t="array" ref="EF168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/>
      </c>
      <c r="EG168" s="335" t="str">
        <f>IFERROR(IF('BHPC MANAGER'!$EE168="","",INDEX(inventory[ESISTENZA],MATCH('BHPC MANAGER'!$EE168,inventory[SKU],0))),0)</f>
        <v/>
      </c>
      <c r="EH168" s="336" t="s">
        <v>241</v>
      </c>
      <c r="EI168" s="336" t="str">
        <f t="shared" si="13"/>
        <v/>
      </c>
      <c r="EJ168" s="337" t="s">
        <v>241</v>
      </c>
      <c r="EK168" s="338" t="str">
        <f t="shared" si="14"/>
        <v/>
      </c>
    </row>
    <row r="169" spans="63:141" x14ac:dyDescent="0.35">
      <c r="BK169" s="261"/>
      <c r="BL169" s="262"/>
      <c r="BM169" s="263"/>
      <c r="BN169" s="262"/>
      <c r="BO169" s="263"/>
      <c r="EE169" s="329" t="str">
        <f t="array" ref="EE169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/>
      </c>
      <c r="EF169" s="493" t="str">
        <f t="array" ref="EF169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/>
      </c>
      <c r="EG169" s="330" t="str">
        <f>IFERROR(IF('BHPC MANAGER'!$EE169="","",INDEX(inventory[ESISTENZA],MATCH('BHPC MANAGER'!$EE169,inventory[SKU],0))),0)</f>
        <v/>
      </c>
      <c r="EH169" s="331" t="s">
        <v>241</v>
      </c>
      <c r="EI169" s="331" t="str">
        <f t="shared" si="13"/>
        <v/>
      </c>
      <c r="EJ169" s="332" t="s">
        <v>241</v>
      </c>
      <c r="EK169" s="333" t="str">
        <f t="shared" si="14"/>
        <v/>
      </c>
    </row>
    <row r="170" spans="63:141" x14ac:dyDescent="0.35">
      <c r="BK170" s="261"/>
      <c r="BL170" s="262"/>
      <c r="BM170" s="263"/>
      <c r="BN170" s="262"/>
      <c r="BO170" s="263"/>
      <c r="EE170" s="334" t="str">
        <f t="array" ref="EE170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/>
      </c>
      <c r="EF170" s="494" t="str">
        <f t="array" ref="EF170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/>
      </c>
      <c r="EG170" s="335" t="str">
        <f>IFERROR(IF('BHPC MANAGER'!$EE170="","",INDEX(inventory[ESISTENZA],MATCH('BHPC MANAGER'!$EE170,inventory[SKU],0))),0)</f>
        <v/>
      </c>
      <c r="EH170" s="336" t="s">
        <v>241</v>
      </c>
      <c r="EI170" s="336" t="str">
        <f t="shared" si="13"/>
        <v/>
      </c>
      <c r="EJ170" s="337" t="s">
        <v>241</v>
      </c>
      <c r="EK170" s="338" t="str">
        <f t="shared" si="14"/>
        <v/>
      </c>
    </row>
    <row r="171" spans="63:141" x14ac:dyDescent="0.35">
      <c r="BK171" s="261"/>
      <c r="BL171" s="262"/>
      <c r="BM171" s="263"/>
      <c r="BN171" s="262"/>
      <c r="BO171" s="263"/>
      <c r="EE171" s="329" t="str">
        <f t="array" ref="EE171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/>
      </c>
      <c r="EF171" s="493" t="str">
        <f t="array" ref="EF171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/>
      </c>
      <c r="EG171" s="330" t="str">
        <f>IFERROR(IF('BHPC MANAGER'!$EE171="","",INDEX(inventory[ESISTENZA],MATCH('BHPC MANAGER'!$EE171,inventory[SKU],0))),0)</f>
        <v/>
      </c>
      <c r="EH171" s="331" t="s">
        <v>241</v>
      </c>
      <c r="EI171" s="331" t="str">
        <f t="shared" si="13"/>
        <v/>
      </c>
      <c r="EJ171" s="332" t="s">
        <v>241</v>
      </c>
      <c r="EK171" s="333" t="str">
        <f t="shared" si="14"/>
        <v/>
      </c>
    </row>
    <row r="172" spans="63:141" x14ac:dyDescent="0.35">
      <c r="BK172" s="261"/>
      <c r="BL172" s="262"/>
      <c r="BM172" s="263"/>
      <c r="BN172" s="262"/>
      <c r="BO172" s="263"/>
      <c r="EE172" s="334" t="str">
        <f t="array" ref="EE172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/>
      </c>
      <c r="EF172" s="494" t="str">
        <f t="array" ref="EF172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/>
      </c>
      <c r="EG172" s="335" t="str">
        <f>IFERROR(IF('BHPC MANAGER'!$EE172="","",INDEX(inventory[ESISTENZA],MATCH('BHPC MANAGER'!$EE172,inventory[SKU],0))),0)</f>
        <v/>
      </c>
      <c r="EH172" s="336" t="s">
        <v>241</v>
      </c>
      <c r="EI172" s="336" t="str">
        <f t="shared" si="13"/>
        <v/>
      </c>
      <c r="EJ172" s="337" t="s">
        <v>241</v>
      </c>
      <c r="EK172" s="338" t="str">
        <f t="shared" si="14"/>
        <v/>
      </c>
    </row>
    <row r="173" spans="63:141" x14ac:dyDescent="0.35">
      <c r="BK173" s="261"/>
      <c r="BL173" s="262"/>
      <c r="BM173" s="263"/>
      <c r="BN173" s="262"/>
      <c r="BO173" s="263"/>
      <c r="EE173" s="329" t="str">
        <f t="array" ref="EE173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/>
      </c>
      <c r="EF173" s="493" t="str">
        <f t="array" ref="EF173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/>
      </c>
      <c r="EG173" s="330" t="str">
        <f>IFERROR(IF('BHPC MANAGER'!$EE173="","",INDEX(inventory[ESISTENZA],MATCH('BHPC MANAGER'!$EE173,inventory[SKU],0))),0)</f>
        <v/>
      </c>
      <c r="EH173" s="331" t="s">
        <v>241</v>
      </c>
      <c r="EI173" s="331" t="str">
        <f t="shared" si="13"/>
        <v/>
      </c>
      <c r="EJ173" s="332" t="s">
        <v>241</v>
      </c>
      <c r="EK173" s="333" t="str">
        <f t="shared" si="14"/>
        <v/>
      </c>
    </row>
    <row r="174" spans="63:141" x14ac:dyDescent="0.35">
      <c r="BK174" s="261"/>
      <c r="BL174" s="262"/>
      <c r="BM174" s="263"/>
      <c r="BN174" s="262"/>
      <c r="BO174" s="263"/>
      <c r="EE174" s="334" t="str">
        <f t="array" ref="EE174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/>
      </c>
      <c r="EF174" s="494" t="str">
        <f t="array" ref="EF174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/>
      </c>
      <c r="EG174" s="335" t="str">
        <f>IFERROR(IF('BHPC MANAGER'!$EE174="","",INDEX(inventory[ESISTENZA],MATCH('BHPC MANAGER'!$EE174,inventory[SKU],0))),0)</f>
        <v/>
      </c>
      <c r="EH174" s="336" t="s">
        <v>241</v>
      </c>
      <c r="EI174" s="336" t="str">
        <f t="shared" si="13"/>
        <v/>
      </c>
      <c r="EJ174" s="337" t="s">
        <v>241</v>
      </c>
      <c r="EK174" s="338" t="str">
        <f t="shared" si="14"/>
        <v/>
      </c>
    </row>
    <row r="175" spans="63:141" x14ac:dyDescent="0.35">
      <c r="BK175" s="261"/>
      <c r="BL175" s="262"/>
      <c r="BM175" s="263"/>
      <c r="BN175" s="262"/>
      <c r="BO175" s="263"/>
      <c r="EE175" s="329" t="str">
        <f t="array" ref="EE175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/>
      </c>
      <c r="EF175" s="493" t="str">
        <f t="array" ref="EF175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/>
      </c>
      <c r="EG175" s="330" t="str">
        <f>IFERROR(IF('BHPC MANAGER'!$EE175="","",INDEX(inventory[ESISTENZA],MATCH('BHPC MANAGER'!$EE175,inventory[SKU],0))),0)</f>
        <v/>
      </c>
      <c r="EH175" s="331" t="s">
        <v>241</v>
      </c>
      <c r="EI175" s="331" t="str">
        <f t="shared" si="13"/>
        <v/>
      </c>
      <c r="EJ175" s="332" t="s">
        <v>241</v>
      </c>
      <c r="EK175" s="333" t="str">
        <f t="shared" si="14"/>
        <v/>
      </c>
    </row>
    <row r="176" spans="63:141" x14ac:dyDescent="0.35">
      <c r="BK176" s="261"/>
      <c r="BL176" s="262"/>
      <c r="BM176" s="263"/>
      <c r="BN176" s="262"/>
      <c r="BO176" s="263"/>
      <c r="EE176" s="334" t="str">
        <f t="array" ref="EE176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/>
      </c>
      <c r="EF176" s="494" t="str">
        <f t="array" ref="EF176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/>
      </c>
      <c r="EG176" s="335" t="str">
        <f>IFERROR(IF('BHPC MANAGER'!$EE176="","",INDEX(inventory[ESISTENZA],MATCH('BHPC MANAGER'!$EE176,inventory[SKU],0))),0)</f>
        <v/>
      </c>
      <c r="EH176" s="336" t="s">
        <v>241</v>
      </c>
      <c r="EI176" s="336" t="str">
        <f t="shared" si="13"/>
        <v/>
      </c>
      <c r="EJ176" s="337" t="s">
        <v>241</v>
      </c>
      <c r="EK176" s="338" t="str">
        <f t="shared" si="14"/>
        <v/>
      </c>
    </row>
    <row r="177" spans="63:141" x14ac:dyDescent="0.35">
      <c r="BK177" s="261"/>
      <c r="BL177" s="262"/>
      <c r="BM177" s="263"/>
      <c r="BN177" s="262"/>
      <c r="BO177" s="263"/>
      <c r="EE177" s="329" t="str">
        <f t="array" ref="EE177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/>
      </c>
      <c r="EF177" s="493" t="str">
        <f t="array" ref="EF177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/>
      </c>
      <c r="EG177" s="330" t="str">
        <f>IFERROR(IF('BHPC MANAGER'!$EE177="","",INDEX(inventory[ESISTENZA],MATCH('BHPC MANAGER'!$EE177,inventory[SKU],0))),0)</f>
        <v/>
      </c>
      <c r="EH177" s="331" t="s">
        <v>241</v>
      </c>
      <c r="EI177" s="331" t="str">
        <f t="shared" si="13"/>
        <v/>
      </c>
      <c r="EJ177" s="332" t="s">
        <v>241</v>
      </c>
      <c r="EK177" s="333" t="str">
        <f t="shared" si="14"/>
        <v/>
      </c>
    </row>
    <row r="178" spans="63:141" x14ac:dyDescent="0.35">
      <c r="BK178" s="261"/>
      <c r="BL178" s="262"/>
      <c r="BM178" s="263"/>
      <c r="BN178" s="262"/>
      <c r="BO178" s="263"/>
      <c r="EE178" s="334" t="str">
        <f t="array" ref="EE178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/>
      </c>
      <c r="EF178" s="494" t="str">
        <f t="array" ref="EF178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/>
      </c>
      <c r="EG178" s="335" t="str">
        <f>IFERROR(IF('BHPC MANAGER'!$EE178="","",INDEX(inventory[ESISTENZA],MATCH('BHPC MANAGER'!$EE178,inventory[SKU],0))),0)</f>
        <v/>
      </c>
      <c r="EH178" s="336" t="s">
        <v>241</v>
      </c>
      <c r="EI178" s="336" t="str">
        <f t="shared" si="13"/>
        <v/>
      </c>
      <c r="EJ178" s="337" t="s">
        <v>241</v>
      </c>
      <c r="EK178" s="338" t="str">
        <f t="shared" si="14"/>
        <v/>
      </c>
    </row>
    <row r="179" spans="63:141" x14ac:dyDescent="0.35">
      <c r="BK179" s="261"/>
      <c r="BL179" s="262"/>
      <c r="BM179" s="263"/>
      <c r="BN179" s="262"/>
      <c r="BO179" s="263"/>
      <c r="EE179" s="329" t="str">
        <f t="array" ref="EE179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/>
      </c>
      <c r="EF179" s="493" t="str">
        <f t="array" ref="EF179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/>
      </c>
      <c r="EG179" s="330" t="str">
        <f>IFERROR(IF('BHPC MANAGER'!$EE179="","",INDEX(inventory[ESISTENZA],MATCH('BHPC MANAGER'!$EE179,inventory[SKU],0))),0)</f>
        <v/>
      </c>
      <c r="EH179" s="331" t="s">
        <v>241</v>
      </c>
      <c r="EI179" s="331" t="str">
        <f t="shared" si="13"/>
        <v/>
      </c>
      <c r="EJ179" s="332" t="s">
        <v>241</v>
      </c>
      <c r="EK179" s="333" t="str">
        <f t="shared" si="14"/>
        <v/>
      </c>
    </row>
    <row r="180" spans="63:141" x14ac:dyDescent="0.35">
      <c r="BK180" s="261"/>
      <c r="BL180" s="262"/>
      <c r="BM180" s="263"/>
      <c r="BN180" s="262"/>
      <c r="BO180" s="263"/>
      <c r="EE180" s="334" t="str">
        <f t="array" ref="EE180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/>
      </c>
      <c r="EF180" s="494" t="str">
        <f t="array" ref="EF180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/>
      </c>
      <c r="EG180" s="335" t="str">
        <f>IFERROR(IF('BHPC MANAGER'!$EE180="","",INDEX(inventory[ESISTENZA],MATCH('BHPC MANAGER'!$EE180,inventory[SKU],0))),0)</f>
        <v/>
      </c>
      <c r="EH180" s="336" t="s">
        <v>241</v>
      </c>
      <c r="EI180" s="336" t="str">
        <f t="shared" si="13"/>
        <v/>
      </c>
      <c r="EJ180" s="337" t="s">
        <v>241</v>
      </c>
      <c r="EK180" s="338" t="str">
        <f t="shared" si="14"/>
        <v/>
      </c>
    </row>
    <row r="181" spans="63:141" x14ac:dyDescent="0.35">
      <c r="BK181" s="261"/>
      <c r="BL181" s="262"/>
      <c r="BM181" s="263"/>
      <c r="BN181" s="262"/>
      <c r="BO181" s="263"/>
      <c r="EE181" s="329" t="str">
        <f t="array" ref="EE181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/>
      </c>
      <c r="EF181" s="493" t="str">
        <f t="array" ref="EF181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/>
      </c>
      <c r="EG181" s="330" t="str">
        <f>IFERROR(IF('BHPC MANAGER'!$EE181="","",INDEX(inventory[ESISTENZA],MATCH('BHPC MANAGER'!$EE181,inventory[SKU],0))),0)</f>
        <v/>
      </c>
      <c r="EH181" s="331" t="s">
        <v>241</v>
      </c>
      <c r="EI181" s="331" t="str">
        <f t="shared" si="13"/>
        <v/>
      </c>
      <c r="EJ181" s="332" t="s">
        <v>241</v>
      </c>
      <c r="EK181" s="333" t="str">
        <f t="shared" si="14"/>
        <v/>
      </c>
    </row>
    <row r="182" spans="63:141" x14ac:dyDescent="0.35">
      <c r="BK182" s="261"/>
      <c r="BL182" s="262"/>
      <c r="BM182" s="263"/>
      <c r="BN182" s="262"/>
      <c r="BO182" s="263"/>
      <c r="EE182" s="334" t="str">
        <f t="array" ref="EE182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/>
      </c>
      <c r="EF182" s="494" t="str">
        <f t="array" ref="EF182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/>
      </c>
      <c r="EG182" s="335" t="str">
        <f>IFERROR(IF('BHPC MANAGER'!$EE182="","",INDEX(inventory[ESISTENZA],MATCH('BHPC MANAGER'!$EE182,inventory[SKU],0))),0)</f>
        <v/>
      </c>
      <c r="EH182" s="336" t="s">
        <v>241</v>
      </c>
      <c r="EI182" s="336" t="str">
        <f t="shared" si="13"/>
        <v/>
      </c>
      <c r="EJ182" s="337" t="s">
        <v>241</v>
      </c>
      <c r="EK182" s="338" t="str">
        <f t="shared" si="14"/>
        <v/>
      </c>
    </row>
    <row r="183" spans="63:141" x14ac:dyDescent="0.35">
      <c r="BK183" s="261"/>
      <c r="BL183" s="262"/>
      <c r="BM183" s="263"/>
      <c r="BN183" s="262"/>
      <c r="BO183" s="263"/>
      <c r="EE183" s="329" t="str">
        <f t="array" ref="EE183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/>
      </c>
      <c r="EF183" s="493" t="str">
        <f t="array" ref="EF183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/>
      </c>
      <c r="EG183" s="330" t="str">
        <f>IFERROR(IF('BHPC MANAGER'!$EE183="","",INDEX(inventory[ESISTENZA],MATCH('BHPC MANAGER'!$EE183,inventory[SKU],0))),0)</f>
        <v/>
      </c>
      <c r="EH183" s="331" t="s">
        <v>241</v>
      </c>
      <c r="EI183" s="331" t="str">
        <f t="shared" si="13"/>
        <v/>
      </c>
      <c r="EJ183" s="332" t="s">
        <v>241</v>
      </c>
      <c r="EK183" s="333" t="str">
        <f t="shared" si="14"/>
        <v/>
      </c>
    </row>
    <row r="184" spans="63:141" x14ac:dyDescent="0.35">
      <c r="BK184" s="261"/>
      <c r="BL184" s="262"/>
      <c r="BM184" s="263"/>
      <c r="BN184" s="262"/>
      <c r="BO184" s="263"/>
      <c r="EE184" s="334" t="str">
        <f t="array" ref="EE184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/>
      </c>
      <c r="EF184" s="494" t="str">
        <f t="array" ref="EF184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/>
      </c>
      <c r="EG184" s="335" t="str">
        <f>IFERROR(IF('BHPC MANAGER'!$EE184="","",INDEX(inventory[ESISTENZA],MATCH('BHPC MANAGER'!$EE184,inventory[SKU],0))),0)</f>
        <v/>
      </c>
      <c r="EH184" s="336" t="s">
        <v>241</v>
      </c>
      <c r="EI184" s="336" t="str">
        <f t="shared" si="13"/>
        <v/>
      </c>
      <c r="EJ184" s="337" t="s">
        <v>241</v>
      </c>
      <c r="EK184" s="338" t="str">
        <f t="shared" si="14"/>
        <v/>
      </c>
    </row>
    <row r="185" spans="63:141" x14ac:dyDescent="0.35">
      <c r="BK185" s="261"/>
      <c r="BL185" s="262"/>
      <c r="BM185" s="263"/>
      <c r="BN185" s="262"/>
      <c r="BO185" s="263"/>
      <c r="EE185" s="329" t="str">
        <f t="array" ref="EE185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/>
      </c>
      <c r="EF185" s="493" t="str">
        <f t="array" ref="EF185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/>
      </c>
      <c r="EG185" s="330" t="str">
        <f>IFERROR(IF('BHPC MANAGER'!$EE185="","",INDEX(inventory[ESISTENZA],MATCH('BHPC MANAGER'!$EE185,inventory[SKU],0))),0)</f>
        <v/>
      </c>
      <c r="EH185" s="331" t="s">
        <v>241</v>
      </c>
      <c r="EI185" s="331" t="str">
        <f t="shared" si="13"/>
        <v/>
      </c>
      <c r="EJ185" s="332" t="s">
        <v>241</v>
      </c>
      <c r="EK185" s="333" t="str">
        <f t="shared" si="14"/>
        <v/>
      </c>
    </row>
    <row r="186" spans="63:141" x14ac:dyDescent="0.35">
      <c r="BK186" s="261"/>
      <c r="BL186" s="262"/>
      <c r="BM186" s="263"/>
      <c r="BN186" s="262"/>
      <c r="BO186" s="263"/>
      <c r="EE186" s="334" t="str">
        <f t="array" ref="EE186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/>
      </c>
      <c r="EF186" s="494" t="str">
        <f t="array" ref="EF186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/>
      </c>
      <c r="EG186" s="335" t="str">
        <f>IFERROR(IF('BHPC MANAGER'!$EE186="","",INDEX(inventory[ESISTENZA],MATCH('BHPC MANAGER'!$EE186,inventory[SKU],0))),0)</f>
        <v/>
      </c>
      <c r="EH186" s="336" t="s">
        <v>241</v>
      </c>
      <c r="EI186" s="336" t="str">
        <f t="shared" si="13"/>
        <v/>
      </c>
      <c r="EJ186" s="337" t="s">
        <v>241</v>
      </c>
      <c r="EK186" s="338" t="str">
        <f t="shared" si="14"/>
        <v/>
      </c>
    </row>
    <row r="187" spans="63:141" x14ac:dyDescent="0.35">
      <c r="BK187" s="261"/>
      <c r="BL187" s="262"/>
      <c r="BM187" s="263"/>
      <c r="BN187" s="262"/>
      <c r="BO187" s="263"/>
      <c r="EE187" s="329" t="str">
        <f t="array" ref="EE187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/>
      </c>
      <c r="EF187" s="493" t="str">
        <f t="array" ref="EF187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/>
      </c>
      <c r="EG187" s="330" t="str">
        <f>IFERROR(IF('BHPC MANAGER'!$EE187="","",INDEX(inventory[ESISTENZA],MATCH('BHPC MANAGER'!$EE187,inventory[SKU],0))),0)</f>
        <v/>
      </c>
      <c r="EH187" s="331" t="s">
        <v>241</v>
      </c>
      <c r="EI187" s="331" t="str">
        <f t="shared" si="13"/>
        <v/>
      </c>
      <c r="EJ187" s="332" t="s">
        <v>241</v>
      </c>
      <c r="EK187" s="333" t="str">
        <f t="shared" si="14"/>
        <v/>
      </c>
    </row>
    <row r="188" spans="63:141" x14ac:dyDescent="0.35">
      <c r="BK188" s="261"/>
      <c r="BL188" s="262"/>
      <c r="BM188" s="263"/>
      <c r="BN188" s="262"/>
      <c r="BO188" s="263"/>
      <c r="EE188" s="334" t="str">
        <f t="array" ref="EE188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/>
      </c>
      <c r="EF188" s="494" t="str">
        <f t="array" ref="EF188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/>
      </c>
      <c r="EG188" s="335" t="str">
        <f>IFERROR(IF('BHPC MANAGER'!$EE188="","",INDEX(inventory[ESISTENZA],MATCH('BHPC MANAGER'!$EE188,inventory[SKU],0))),0)</f>
        <v/>
      </c>
      <c r="EH188" s="336" t="s">
        <v>241</v>
      </c>
      <c r="EI188" s="336" t="str">
        <f t="shared" si="13"/>
        <v/>
      </c>
      <c r="EJ188" s="337" t="s">
        <v>241</v>
      </c>
      <c r="EK188" s="338" t="str">
        <f t="shared" si="14"/>
        <v/>
      </c>
    </row>
    <row r="189" spans="63:141" x14ac:dyDescent="0.35">
      <c r="BK189" s="261"/>
      <c r="BL189" s="262"/>
      <c r="BM189" s="263"/>
      <c r="BN189" s="262"/>
      <c r="BO189" s="263"/>
      <c r="EE189" s="329" t="str">
        <f t="array" ref="EE189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/>
      </c>
      <c r="EF189" s="493" t="str">
        <f t="array" ref="EF189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/>
      </c>
      <c r="EG189" s="330" t="str">
        <f>IFERROR(IF('BHPC MANAGER'!$EE189="","",INDEX(inventory[ESISTENZA],MATCH('BHPC MANAGER'!$EE189,inventory[SKU],0))),0)</f>
        <v/>
      </c>
      <c r="EH189" s="331" t="s">
        <v>241</v>
      </c>
      <c r="EI189" s="331" t="str">
        <f t="shared" si="13"/>
        <v/>
      </c>
      <c r="EJ189" s="332" t="s">
        <v>241</v>
      </c>
      <c r="EK189" s="333" t="str">
        <f t="shared" si="14"/>
        <v/>
      </c>
    </row>
    <row r="190" spans="63:141" x14ac:dyDescent="0.35">
      <c r="BK190" s="261"/>
      <c r="BL190" s="262"/>
      <c r="BM190" s="263"/>
      <c r="BN190" s="262"/>
      <c r="BO190" s="263"/>
      <c r="EE190" s="334" t="str">
        <f t="array" ref="EE190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/>
      </c>
      <c r="EF190" s="494" t="str">
        <f t="array" ref="EF190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/>
      </c>
      <c r="EG190" s="335" t="str">
        <f>IFERROR(IF('BHPC MANAGER'!$EE190="","",INDEX(inventory[ESISTENZA],MATCH('BHPC MANAGER'!$EE190,inventory[SKU],0))),0)</f>
        <v/>
      </c>
      <c r="EH190" s="336" t="s">
        <v>241</v>
      </c>
      <c r="EI190" s="336" t="str">
        <f t="shared" si="13"/>
        <v/>
      </c>
      <c r="EJ190" s="337" t="s">
        <v>241</v>
      </c>
      <c r="EK190" s="338" t="str">
        <f t="shared" si="14"/>
        <v/>
      </c>
    </row>
    <row r="191" spans="63:141" x14ac:dyDescent="0.35">
      <c r="BK191" s="261"/>
      <c r="BL191" s="262"/>
      <c r="BM191" s="263"/>
      <c r="BN191" s="262"/>
      <c r="BO191" s="263"/>
      <c r="EE191" s="329" t="str">
        <f t="array" ref="EE191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/>
      </c>
      <c r="EF191" s="493" t="str">
        <f t="array" ref="EF191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/>
      </c>
      <c r="EG191" s="330" t="str">
        <f>IFERROR(IF('BHPC MANAGER'!$EE191="","",INDEX(inventory[ESISTENZA],MATCH('BHPC MANAGER'!$EE191,inventory[SKU],0))),0)</f>
        <v/>
      </c>
      <c r="EH191" s="331" t="s">
        <v>241</v>
      </c>
      <c r="EI191" s="331" t="str">
        <f t="shared" si="13"/>
        <v/>
      </c>
      <c r="EJ191" s="332" t="s">
        <v>241</v>
      </c>
      <c r="EK191" s="333" t="str">
        <f t="shared" si="14"/>
        <v/>
      </c>
    </row>
    <row r="192" spans="63:141" x14ac:dyDescent="0.35">
      <c r="BK192" s="261"/>
      <c r="BL192" s="262"/>
      <c r="BM192" s="263"/>
      <c r="BN192" s="262"/>
      <c r="BO192" s="263"/>
      <c r="EE192" s="334" t="str">
        <f t="array" ref="EE192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/>
      </c>
      <c r="EF192" s="494" t="str">
        <f t="array" ref="EF192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/>
      </c>
      <c r="EG192" s="335" t="str">
        <f>IFERROR(IF('BHPC MANAGER'!$EE192="","",INDEX(inventory[ESISTENZA],MATCH('BHPC MANAGER'!$EE192,inventory[SKU],0))),0)</f>
        <v/>
      </c>
      <c r="EH192" s="336" t="s">
        <v>241</v>
      </c>
      <c r="EI192" s="336" t="str">
        <f t="shared" si="13"/>
        <v/>
      </c>
      <c r="EJ192" s="337" t="s">
        <v>241</v>
      </c>
      <c r="EK192" s="338" t="str">
        <f t="shared" si="14"/>
        <v/>
      </c>
    </row>
    <row r="193" spans="63:141" x14ac:dyDescent="0.35">
      <c r="BK193" s="261"/>
      <c r="BL193" s="262"/>
      <c r="BM193" s="263"/>
      <c r="BN193" s="262"/>
      <c r="BO193" s="263"/>
      <c r="EE193" s="329" t="str">
        <f t="array" ref="EE193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/>
      </c>
      <c r="EF193" s="493" t="str">
        <f t="array" ref="EF193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/>
      </c>
      <c r="EG193" s="330" t="str">
        <f>IFERROR(IF('BHPC MANAGER'!$EE193="","",INDEX(inventory[ESISTENZA],MATCH('BHPC MANAGER'!$EE193,inventory[SKU],0))),0)</f>
        <v/>
      </c>
      <c r="EH193" s="331" t="s">
        <v>241</v>
      </c>
      <c r="EI193" s="331" t="str">
        <f t="shared" si="13"/>
        <v/>
      </c>
      <c r="EJ193" s="332" t="s">
        <v>241</v>
      </c>
      <c r="EK193" s="333" t="str">
        <f t="shared" si="14"/>
        <v/>
      </c>
    </row>
    <row r="194" spans="63:141" x14ac:dyDescent="0.35">
      <c r="BK194" s="261"/>
      <c r="BL194" s="262"/>
      <c r="BM194" s="263"/>
      <c r="BN194" s="262"/>
      <c r="BO194" s="263"/>
      <c r="EE194" s="334" t="str">
        <f t="array" ref="EE194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/>
      </c>
      <c r="EF194" s="494" t="str">
        <f t="array" ref="EF194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/>
      </c>
      <c r="EG194" s="335" t="str">
        <f>IFERROR(IF('BHPC MANAGER'!$EE194="","",INDEX(inventory[ESISTENZA],MATCH('BHPC MANAGER'!$EE194,inventory[SKU],0))),0)</f>
        <v/>
      </c>
      <c r="EH194" s="336" t="s">
        <v>241</v>
      </c>
      <c r="EI194" s="336" t="str">
        <f t="shared" si="13"/>
        <v/>
      </c>
      <c r="EJ194" s="337" t="s">
        <v>241</v>
      </c>
      <c r="EK194" s="338" t="str">
        <f t="shared" si="14"/>
        <v/>
      </c>
    </row>
    <row r="195" spans="63:141" x14ac:dyDescent="0.35">
      <c r="BK195" s="261"/>
      <c r="BL195" s="262"/>
      <c r="BM195" s="263"/>
      <c r="BN195" s="262"/>
      <c r="BO195" s="263"/>
      <c r="EE195" s="329" t="str">
        <f t="array" ref="EE195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/>
      </c>
      <c r="EF195" s="493" t="str">
        <f t="array" ref="EF195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/>
      </c>
      <c r="EG195" s="330" t="str">
        <f>IFERROR(IF('BHPC MANAGER'!$EE195="","",INDEX(inventory[ESISTENZA],MATCH('BHPC MANAGER'!$EE195,inventory[SKU],0))),0)</f>
        <v/>
      </c>
      <c r="EH195" s="331" t="s">
        <v>241</v>
      </c>
      <c r="EI195" s="331" t="str">
        <f t="shared" si="13"/>
        <v/>
      </c>
      <c r="EJ195" s="332" t="s">
        <v>241</v>
      </c>
      <c r="EK195" s="333" t="str">
        <f t="shared" si="14"/>
        <v/>
      </c>
    </row>
    <row r="196" spans="63:141" x14ac:dyDescent="0.35">
      <c r="BK196" s="261"/>
      <c r="BL196" s="262"/>
      <c r="BM196" s="263"/>
      <c r="BN196" s="262"/>
      <c r="BO196" s="263"/>
      <c r="EE196" s="334" t="str">
        <f t="array" ref="EE196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/>
      </c>
      <c r="EF196" s="494" t="str">
        <f t="array" ref="EF196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/>
      </c>
      <c r="EG196" s="335" t="str">
        <f>IFERROR(IF('BHPC MANAGER'!$EE196="","",INDEX(inventory[ESISTENZA],MATCH('BHPC MANAGER'!$EE196,inventory[SKU],0))),0)</f>
        <v/>
      </c>
      <c r="EH196" s="336" t="s">
        <v>241</v>
      </c>
      <c r="EI196" s="336" t="str">
        <f t="shared" si="13"/>
        <v/>
      </c>
      <c r="EJ196" s="337" t="s">
        <v>241</v>
      </c>
      <c r="EK196" s="338" t="str">
        <f t="shared" si="14"/>
        <v/>
      </c>
    </row>
    <row r="197" spans="63:141" x14ac:dyDescent="0.35">
      <c r="BK197" s="261"/>
      <c r="BL197" s="262"/>
      <c r="BM197" s="263"/>
      <c r="BN197" s="262"/>
      <c r="BO197" s="263"/>
      <c r="EE197" s="329" t="str">
        <f t="array" ref="EE197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/>
      </c>
      <c r="EF197" s="493" t="str">
        <f t="array" ref="EF197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/>
      </c>
      <c r="EG197" s="330" t="str">
        <f>IFERROR(IF('BHPC MANAGER'!$EE197="","",INDEX(inventory[ESISTENZA],MATCH('BHPC MANAGER'!$EE197,inventory[SKU],0))),0)</f>
        <v/>
      </c>
      <c r="EH197" s="331" t="s">
        <v>241</v>
      </c>
      <c r="EI197" s="331" t="str">
        <f t="shared" si="13"/>
        <v/>
      </c>
      <c r="EJ197" s="332" t="s">
        <v>241</v>
      </c>
      <c r="EK197" s="333" t="str">
        <f t="shared" si="14"/>
        <v/>
      </c>
    </row>
    <row r="198" spans="63:141" x14ac:dyDescent="0.35">
      <c r="BK198" s="261"/>
      <c r="BL198" s="262"/>
      <c r="BM198" s="263"/>
      <c r="BN198" s="262"/>
      <c r="BO198" s="263"/>
      <c r="EE198" s="334" t="str">
        <f t="array" ref="EE198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/>
      </c>
      <c r="EF198" s="494" t="str">
        <f t="array" ref="EF198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/>
      </c>
      <c r="EG198" s="335" t="str">
        <f>IFERROR(IF('BHPC MANAGER'!$EE198="","",INDEX(inventory[ESISTENZA],MATCH('BHPC MANAGER'!$EE198,inventory[SKU],0))),0)</f>
        <v/>
      </c>
      <c r="EH198" s="336" t="s">
        <v>241</v>
      </c>
      <c r="EI198" s="336" t="str">
        <f t="shared" si="13"/>
        <v/>
      </c>
      <c r="EJ198" s="337" t="s">
        <v>241</v>
      </c>
      <c r="EK198" s="338" t="str">
        <f t="shared" si="14"/>
        <v/>
      </c>
    </row>
    <row r="199" spans="63:141" x14ac:dyDescent="0.35">
      <c r="BK199" s="261"/>
      <c r="BL199" s="262"/>
      <c r="BM199" s="263"/>
      <c r="BN199" s="262"/>
      <c r="BO199" s="263"/>
      <c r="EE199" s="329" t="str">
        <f t="array" ref="EE199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/>
      </c>
      <c r="EF199" s="493" t="str">
        <f t="array" ref="EF199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/>
      </c>
      <c r="EG199" s="330" t="str">
        <f>IFERROR(IF('BHPC MANAGER'!$EE199="","",INDEX(inventory[ESISTENZA],MATCH('BHPC MANAGER'!$EE199,inventory[SKU],0))),0)</f>
        <v/>
      </c>
      <c r="EH199" s="331" t="s">
        <v>241</v>
      </c>
      <c r="EI199" s="331" t="str">
        <f t="shared" si="13"/>
        <v/>
      </c>
      <c r="EJ199" s="332" t="s">
        <v>241</v>
      </c>
      <c r="EK199" s="333" t="str">
        <f t="shared" si="14"/>
        <v/>
      </c>
    </row>
    <row r="200" spans="63:141" x14ac:dyDescent="0.35">
      <c r="BK200" s="261"/>
      <c r="BL200" s="262"/>
      <c r="BM200" s="263"/>
      <c r="BN200" s="262"/>
      <c r="BO200" s="263"/>
      <c r="EE200" s="334" t="str">
        <f t="array" ref="EE200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/>
      </c>
      <c r="EF200" s="494" t="str">
        <f t="array" ref="EF200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/>
      </c>
      <c r="EG200" s="335" t="str">
        <f>IFERROR(IF('BHPC MANAGER'!$EE200="","",INDEX(inventory[ESISTENZA],MATCH('BHPC MANAGER'!$EE200,inventory[SKU],0))),0)</f>
        <v/>
      </c>
      <c r="EH200" s="336" t="s">
        <v>241</v>
      </c>
      <c r="EI200" s="336" t="str">
        <f t="shared" si="13"/>
        <v/>
      </c>
      <c r="EJ200" s="337" t="s">
        <v>241</v>
      </c>
      <c r="EK200" s="338" t="str">
        <f t="shared" si="14"/>
        <v/>
      </c>
    </row>
    <row r="201" spans="63:141" x14ac:dyDescent="0.35">
      <c r="BK201" s="261"/>
      <c r="BL201" s="262"/>
      <c r="BM201" s="263"/>
      <c r="BN201" s="262"/>
      <c r="BO201" s="263"/>
      <c r="EE201" s="329" t="str">
        <f t="array" ref="EE201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/>
      </c>
      <c r="EF201" s="493" t="str">
        <f t="array" ref="EF201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/>
      </c>
      <c r="EG201" s="330" t="str">
        <f>IFERROR(IF('BHPC MANAGER'!$EE201="","",INDEX(inventory[ESISTENZA],MATCH('BHPC MANAGER'!$EE201,inventory[SKU],0))),0)</f>
        <v/>
      </c>
      <c r="EH201" s="331" t="s">
        <v>241</v>
      </c>
      <c r="EI201" s="331" t="str">
        <f t="shared" ref="EI201:EI264" si="15">IF(EE201="","",IFERROR(EG201+EH201,EG201))</f>
        <v/>
      </c>
      <c r="EJ201" s="332" t="s">
        <v>241</v>
      </c>
      <c r="EK201" s="333" t="str">
        <f t="shared" ref="EK201:EK264" si="16">IF(EE201="","",IFERROR(EI201+EJ201,EI201))</f>
        <v/>
      </c>
    </row>
    <row r="202" spans="63:141" x14ac:dyDescent="0.35">
      <c r="BK202" s="261"/>
      <c r="BL202" s="262"/>
      <c r="BM202" s="263"/>
      <c r="BN202" s="262"/>
      <c r="BO202" s="263"/>
      <c r="EE202" s="334" t="str">
        <f t="array" ref="EE202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/>
      </c>
      <c r="EF202" s="494" t="str">
        <f t="array" ref="EF202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/>
      </c>
      <c r="EG202" s="335" t="str">
        <f>IFERROR(IF('BHPC MANAGER'!$EE202="","",INDEX(inventory[ESISTENZA],MATCH('BHPC MANAGER'!$EE202,inventory[SKU],0))),0)</f>
        <v/>
      </c>
      <c r="EH202" s="336" t="s">
        <v>241</v>
      </c>
      <c r="EI202" s="336" t="str">
        <f t="shared" si="15"/>
        <v/>
      </c>
      <c r="EJ202" s="337" t="s">
        <v>241</v>
      </c>
      <c r="EK202" s="338" t="str">
        <f t="shared" si="16"/>
        <v/>
      </c>
    </row>
    <row r="203" spans="63:141" x14ac:dyDescent="0.35">
      <c r="BK203" s="261"/>
      <c r="BL203" s="262"/>
      <c r="BM203" s="263"/>
      <c r="BN203" s="262"/>
      <c r="BO203" s="263"/>
      <c r="EE203" s="329" t="str">
        <f t="array" ref="EE203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/>
      </c>
      <c r="EF203" s="493" t="str">
        <f t="array" ref="EF203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/>
      </c>
      <c r="EG203" s="330" t="str">
        <f>IFERROR(IF('BHPC MANAGER'!$EE203="","",INDEX(inventory[ESISTENZA],MATCH('BHPC MANAGER'!$EE203,inventory[SKU],0))),0)</f>
        <v/>
      </c>
      <c r="EH203" s="331" t="s">
        <v>241</v>
      </c>
      <c r="EI203" s="331" t="str">
        <f t="shared" si="15"/>
        <v/>
      </c>
      <c r="EJ203" s="332" t="s">
        <v>241</v>
      </c>
      <c r="EK203" s="333" t="str">
        <f t="shared" si="16"/>
        <v/>
      </c>
    </row>
    <row r="204" spans="63:141" x14ac:dyDescent="0.35">
      <c r="BK204" s="261"/>
      <c r="BL204" s="262"/>
      <c r="BM204" s="263"/>
      <c r="BN204" s="262"/>
      <c r="BO204" s="263"/>
      <c r="EE204" s="334" t="str">
        <f t="array" ref="EE204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/>
      </c>
      <c r="EF204" s="494" t="str">
        <f t="array" ref="EF204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/>
      </c>
      <c r="EG204" s="335" t="str">
        <f>IFERROR(IF('BHPC MANAGER'!$EE204="","",INDEX(inventory[ESISTENZA],MATCH('BHPC MANAGER'!$EE204,inventory[SKU],0))),0)</f>
        <v/>
      </c>
      <c r="EH204" s="336" t="s">
        <v>241</v>
      </c>
      <c r="EI204" s="336" t="str">
        <f t="shared" si="15"/>
        <v/>
      </c>
      <c r="EJ204" s="337" t="s">
        <v>241</v>
      </c>
      <c r="EK204" s="338" t="str">
        <f t="shared" si="16"/>
        <v/>
      </c>
    </row>
    <row r="205" spans="63:141" x14ac:dyDescent="0.35">
      <c r="BK205" s="261"/>
      <c r="BL205" s="262"/>
      <c r="BM205" s="263"/>
      <c r="BN205" s="262"/>
      <c r="BO205" s="263"/>
      <c r="EE205" s="329" t="str">
        <f t="array" ref="EE205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/>
      </c>
      <c r="EF205" s="493" t="str">
        <f t="array" ref="EF205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/>
      </c>
      <c r="EG205" s="330" t="str">
        <f>IFERROR(IF('BHPC MANAGER'!$EE205="","",INDEX(inventory[ESISTENZA],MATCH('BHPC MANAGER'!$EE205,inventory[SKU],0))),0)</f>
        <v/>
      </c>
      <c r="EH205" s="331" t="s">
        <v>241</v>
      </c>
      <c r="EI205" s="331" t="str">
        <f t="shared" si="15"/>
        <v/>
      </c>
      <c r="EJ205" s="332" t="s">
        <v>241</v>
      </c>
      <c r="EK205" s="333" t="str">
        <f t="shared" si="16"/>
        <v/>
      </c>
    </row>
    <row r="206" spans="63:141" x14ac:dyDescent="0.35">
      <c r="BK206" s="261"/>
      <c r="BL206" s="262"/>
      <c r="BM206" s="263"/>
      <c r="BN206" s="262"/>
      <c r="BO206" s="263"/>
      <c r="EE206" s="334" t="str">
        <f t="array" ref="EE206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/>
      </c>
      <c r="EF206" s="494" t="str">
        <f t="array" ref="EF206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/>
      </c>
      <c r="EG206" s="335" t="str">
        <f>IFERROR(IF('BHPC MANAGER'!$EE206="","",INDEX(inventory[ESISTENZA],MATCH('BHPC MANAGER'!$EE206,inventory[SKU],0))),0)</f>
        <v/>
      </c>
      <c r="EH206" s="336" t="s">
        <v>241</v>
      </c>
      <c r="EI206" s="336" t="str">
        <f t="shared" si="15"/>
        <v/>
      </c>
      <c r="EJ206" s="337" t="s">
        <v>241</v>
      </c>
      <c r="EK206" s="338" t="str">
        <f t="shared" si="16"/>
        <v/>
      </c>
    </row>
    <row r="207" spans="63:141" x14ac:dyDescent="0.35">
      <c r="BK207" s="261"/>
      <c r="BL207" s="262"/>
      <c r="BM207" s="263"/>
      <c r="BN207" s="262"/>
      <c r="BO207" s="263"/>
      <c r="EE207" s="329" t="str">
        <f t="array" ref="EE207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/>
      </c>
      <c r="EF207" s="493" t="str">
        <f t="array" ref="EF207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/>
      </c>
      <c r="EG207" s="330" t="str">
        <f>IFERROR(IF('BHPC MANAGER'!$EE207="","",INDEX(inventory[ESISTENZA],MATCH('BHPC MANAGER'!$EE207,inventory[SKU],0))),0)</f>
        <v/>
      </c>
      <c r="EH207" s="331" t="s">
        <v>241</v>
      </c>
      <c r="EI207" s="331" t="str">
        <f t="shared" si="15"/>
        <v/>
      </c>
      <c r="EJ207" s="332" t="s">
        <v>241</v>
      </c>
      <c r="EK207" s="333" t="str">
        <f t="shared" si="16"/>
        <v/>
      </c>
    </row>
    <row r="208" spans="63:141" x14ac:dyDescent="0.35">
      <c r="BK208" s="261"/>
      <c r="BL208" s="262"/>
      <c r="BM208" s="263"/>
      <c r="BN208" s="262"/>
      <c r="BO208" s="263"/>
      <c r="EE208" s="334" t="str">
        <f t="array" ref="EE208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/>
      </c>
      <c r="EF208" s="494" t="str">
        <f t="array" ref="EF208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/>
      </c>
      <c r="EG208" s="335" t="str">
        <f>IFERROR(IF('BHPC MANAGER'!$EE208="","",INDEX(inventory[ESISTENZA],MATCH('BHPC MANAGER'!$EE208,inventory[SKU],0))),0)</f>
        <v/>
      </c>
      <c r="EH208" s="336" t="s">
        <v>241</v>
      </c>
      <c r="EI208" s="336" t="str">
        <f t="shared" si="15"/>
        <v/>
      </c>
      <c r="EJ208" s="337" t="s">
        <v>241</v>
      </c>
      <c r="EK208" s="338" t="str">
        <f t="shared" si="16"/>
        <v/>
      </c>
    </row>
    <row r="209" spans="63:141" x14ac:dyDescent="0.35">
      <c r="BK209" s="261"/>
      <c r="BL209" s="262"/>
      <c r="BM209" s="263"/>
      <c r="BN209" s="262"/>
      <c r="BO209" s="263"/>
      <c r="EE209" s="329" t="str">
        <f t="array" ref="EE209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/>
      </c>
      <c r="EF209" s="493" t="str">
        <f t="array" ref="EF209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/>
      </c>
      <c r="EG209" s="330" t="str">
        <f>IFERROR(IF('BHPC MANAGER'!$EE209="","",INDEX(inventory[ESISTENZA],MATCH('BHPC MANAGER'!$EE209,inventory[SKU],0))),0)</f>
        <v/>
      </c>
      <c r="EH209" s="331" t="s">
        <v>241</v>
      </c>
      <c r="EI209" s="331" t="str">
        <f t="shared" si="15"/>
        <v/>
      </c>
      <c r="EJ209" s="332" t="s">
        <v>241</v>
      </c>
      <c r="EK209" s="333" t="str">
        <f t="shared" si="16"/>
        <v/>
      </c>
    </row>
    <row r="210" spans="63:141" x14ac:dyDescent="0.35">
      <c r="BK210" s="261"/>
      <c r="BL210" s="262"/>
      <c r="BM210" s="263"/>
      <c r="BN210" s="262"/>
      <c r="BO210" s="263"/>
      <c r="EE210" s="334" t="str">
        <f t="array" ref="EE210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/>
      </c>
      <c r="EF210" s="494" t="str">
        <f t="array" ref="EF210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/>
      </c>
      <c r="EG210" s="335" t="str">
        <f>IFERROR(IF('BHPC MANAGER'!$EE210="","",INDEX(inventory[ESISTENZA],MATCH('BHPC MANAGER'!$EE210,inventory[SKU],0))),0)</f>
        <v/>
      </c>
      <c r="EH210" s="336" t="s">
        <v>241</v>
      </c>
      <c r="EI210" s="336" t="str">
        <f t="shared" si="15"/>
        <v/>
      </c>
      <c r="EJ210" s="337" t="s">
        <v>241</v>
      </c>
      <c r="EK210" s="338" t="str">
        <f t="shared" si="16"/>
        <v/>
      </c>
    </row>
    <row r="211" spans="63:141" x14ac:dyDescent="0.35">
      <c r="BK211" s="261"/>
      <c r="BL211" s="262"/>
      <c r="BM211" s="263"/>
      <c r="BN211" s="262"/>
      <c r="BO211" s="263"/>
      <c r="EE211" s="329" t="str">
        <f t="array" ref="EE211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/>
      </c>
      <c r="EF211" s="493" t="str">
        <f t="array" ref="EF211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/>
      </c>
      <c r="EG211" s="330" t="str">
        <f>IFERROR(IF('BHPC MANAGER'!$EE211="","",INDEX(inventory[ESISTENZA],MATCH('BHPC MANAGER'!$EE211,inventory[SKU],0))),0)</f>
        <v/>
      </c>
      <c r="EH211" s="331" t="s">
        <v>241</v>
      </c>
      <c r="EI211" s="331" t="str">
        <f t="shared" si="15"/>
        <v/>
      </c>
      <c r="EJ211" s="332" t="s">
        <v>241</v>
      </c>
      <c r="EK211" s="333" t="str">
        <f t="shared" si="16"/>
        <v/>
      </c>
    </row>
    <row r="212" spans="63:141" x14ac:dyDescent="0.35">
      <c r="BK212" s="261"/>
      <c r="BL212" s="262"/>
      <c r="BM212" s="263"/>
      <c r="BN212" s="262"/>
      <c r="BO212" s="263"/>
      <c r="EE212" s="334" t="str">
        <f t="array" ref="EE212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/>
      </c>
      <c r="EF212" s="494" t="str">
        <f t="array" ref="EF212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/>
      </c>
      <c r="EG212" s="335" t="str">
        <f>IFERROR(IF('BHPC MANAGER'!$EE212="","",INDEX(inventory[ESISTENZA],MATCH('BHPC MANAGER'!$EE212,inventory[SKU],0))),0)</f>
        <v/>
      </c>
      <c r="EH212" s="336" t="s">
        <v>241</v>
      </c>
      <c r="EI212" s="336" t="str">
        <f t="shared" si="15"/>
        <v/>
      </c>
      <c r="EJ212" s="337" t="s">
        <v>241</v>
      </c>
      <c r="EK212" s="338" t="str">
        <f t="shared" si="16"/>
        <v/>
      </c>
    </row>
    <row r="213" spans="63:141" x14ac:dyDescent="0.35">
      <c r="BK213" s="261"/>
      <c r="BL213" s="262"/>
      <c r="BM213" s="263"/>
      <c r="BN213" s="262"/>
      <c r="BO213" s="263"/>
      <c r="EE213" s="329" t="str">
        <f t="array" ref="EE213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/>
      </c>
      <c r="EF213" s="493" t="str">
        <f t="array" ref="EF213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/>
      </c>
      <c r="EG213" s="330" t="str">
        <f>IFERROR(IF('BHPC MANAGER'!$EE213="","",INDEX(inventory[ESISTENZA],MATCH('BHPC MANAGER'!$EE213,inventory[SKU],0))),0)</f>
        <v/>
      </c>
      <c r="EH213" s="331" t="s">
        <v>241</v>
      </c>
      <c r="EI213" s="331" t="str">
        <f t="shared" si="15"/>
        <v/>
      </c>
      <c r="EJ213" s="332" t="s">
        <v>241</v>
      </c>
      <c r="EK213" s="333" t="str">
        <f t="shared" si="16"/>
        <v/>
      </c>
    </row>
    <row r="214" spans="63:141" x14ac:dyDescent="0.35">
      <c r="BK214" s="261"/>
      <c r="BL214" s="262"/>
      <c r="BM214" s="263"/>
      <c r="BN214" s="262"/>
      <c r="BO214" s="263"/>
      <c r="EE214" s="334" t="str">
        <f t="array" ref="EE214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/>
      </c>
      <c r="EF214" s="494" t="str">
        <f t="array" ref="EF214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/>
      </c>
      <c r="EG214" s="335" t="str">
        <f>IFERROR(IF('BHPC MANAGER'!$EE214="","",INDEX(inventory[ESISTENZA],MATCH('BHPC MANAGER'!$EE214,inventory[SKU],0))),0)</f>
        <v/>
      </c>
      <c r="EH214" s="336" t="s">
        <v>241</v>
      </c>
      <c r="EI214" s="336" t="str">
        <f t="shared" si="15"/>
        <v/>
      </c>
      <c r="EJ214" s="337" t="s">
        <v>241</v>
      </c>
      <c r="EK214" s="338" t="str">
        <f t="shared" si="16"/>
        <v/>
      </c>
    </row>
    <row r="215" spans="63:141" x14ac:dyDescent="0.35">
      <c r="BK215" s="261"/>
      <c r="BL215" s="262"/>
      <c r="BM215" s="263"/>
      <c r="BN215" s="262"/>
      <c r="BO215" s="263"/>
      <c r="EE215" s="329" t="str">
        <f t="array" ref="EE215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/>
      </c>
      <c r="EF215" s="493" t="str">
        <f t="array" ref="EF215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/>
      </c>
      <c r="EG215" s="330" t="str">
        <f>IFERROR(IF('BHPC MANAGER'!$EE215="","",INDEX(inventory[ESISTENZA],MATCH('BHPC MANAGER'!$EE215,inventory[SKU],0))),0)</f>
        <v/>
      </c>
      <c r="EH215" s="331" t="s">
        <v>241</v>
      </c>
      <c r="EI215" s="331" t="str">
        <f t="shared" si="15"/>
        <v/>
      </c>
      <c r="EJ215" s="332" t="s">
        <v>241</v>
      </c>
      <c r="EK215" s="333" t="str">
        <f t="shared" si="16"/>
        <v/>
      </c>
    </row>
    <row r="216" spans="63:141" x14ac:dyDescent="0.35">
      <c r="BK216" s="261"/>
      <c r="BL216" s="262"/>
      <c r="BM216" s="263"/>
      <c r="BN216" s="262"/>
      <c r="BO216" s="263"/>
      <c r="EE216" s="334" t="str">
        <f t="array" ref="EE216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/>
      </c>
      <c r="EF216" s="494" t="str">
        <f t="array" ref="EF216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/>
      </c>
      <c r="EG216" s="335" t="str">
        <f>IFERROR(IF('BHPC MANAGER'!$EE216="","",INDEX(inventory[ESISTENZA],MATCH('BHPC MANAGER'!$EE216,inventory[SKU],0))),0)</f>
        <v/>
      </c>
      <c r="EH216" s="336" t="s">
        <v>241</v>
      </c>
      <c r="EI216" s="336" t="str">
        <f t="shared" si="15"/>
        <v/>
      </c>
      <c r="EJ216" s="337" t="s">
        <v>241</v>
      </c>
      <c r="EK216" s="338" t="str">
        <f t="shared" si="16"/>
        <v/>
      </c>
    </row>
    <row r="217" spans="63:141" x14ac:dyDescent="0.35">
      <c r="BK217" s="261"/>
      <c r="BL217" s="262"/>
      <c r="BM217" s="263"/>
      <c r="BN217" s="262"/>
      <c r="BO217" s="263"/>
      <c r="EE217" s="329" t="str">
        <f t="array" ref="EE217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/>
      </c>
      <c r="EF217" s="493" t="str">
        <f t="array" ref="EF217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/>
      </c>
      <c r="EG217" s="330" t="str">
        <f>IFERROR(IF('BHPC MANAGER'!$EE217="","",INDEX(inventory[ESISTENZA],MATCH('BHPC MANAGER'!$EE217,inventory[SKU],0))),0)</f>
        <v/>
      </c>
      <c r="EH217" s="331" t="s">
        <v>241</v>
      </c>
      <c r="EI217" s="331" t="str">
        <f t="shared" si="15"/>
        <v/>
      </c>
      <c r="EJ217" s="332" t="s">
        <v>241</v>
      </c>
      <c r="EK217" s="333" t="str">
        <f t="shared" si="16"/>
        <v/>
      </c>
    </row>
    <row r="218" spans="63:141" x14ac:dyDescent="0.35">
      <c r="BK218" s="261"/>
      <c r="BL218" s="262"/>
      <c r="BM218" s="263"/>
      <c r="BN218" s="262"/>
      <c r="BO218" s="263"/>
      <c r="EE218" s="334" t="str">
        <f t="array" ref="EE218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/>
      </c>
      <c r="EF218" s="494" t="str">
        <f t="array" ref="EF218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/>
      </c>
      <c r="EG218" s="335" t="str">
        <f>IFERROR(IF('BHPC MANAGER'!$EE218="","",INDEX(inventory[ESISTENZA],MATCH('BHPC MANAGER'!$EE218,inventory[SKU],0))),0)</f>
        <v/>
      </c>
      <c r="EH218" s="336" t="s">
        <v>241</v>
      </c>
      <c r="EI218" s="336" t="str">
        <f t="shared" si="15"/>
        <v/>
      </c>
      <c r="EJ218" s="337" t="s">
        <v>241</v>
      </c>
      <c r="EK218" s="338" t="str">
        <f t="shared" si="16"/>
        <v/>
      </c>
    </row>
    <row r="219" spans="63:141" x14ac:dyDescent="0.35">
      <c r="BK219" s="261"/>
      <c r="BL219" s="262"/>
      <c r="BM219" s="263"/>
      <c r="BN219" s="262"/>
      <c r="BO219" s="263"/>
      <c r="EE219" s="329" t="str">
        <f t="array" ref="EE219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/>
      </c>
      <c r="EF219" s="493" t="str">
        <f t="array" ref="EF219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/>
      </c>
      <c r="EG219" s="330" t="str">
        <f>IFERROR(IF('BHPC MANAGER'!$EE219="","",INDEX(inventory[ESISTENZA],MATCH('BHPC MANAGER'!$EE219,inventory[SKU],0))),0)</f>
        <v/>
      </c>
      <c r="EH219" s="331" t="s">
        <v>241</v>
      </c>
      <c r="EI219" s="331" t="str">
        <f t="shared" si="15"/>
        <v/>
      </c>
      <c r="EJ219" s="332" t="s">
        <v>241</v>
      </c>
      <c r="EK219" s="333" t="str">
        <f t="shared" si="16"/>
        <v/>
      </c>
    </row>
    <row r="220" spans="63:141" x14ac:dyDescent="0.35">
      <c r="BK220" s="261"/>
      <c r="BL220" s="262"/>
      <c r="BM220" s="263"/>
      <c r="BN220" s="262"/>
      <c r="BO220" s="263"/>
      <c r="EE220" s="334" t="str">
        <f t="array" ref="EE220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/>
      </c>
      <c r="EF220" s="494" t="str">
        <f t="array" ref="EF220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/>
      </c>
      <c r="EG220" s="335" t="str">
        <f>IFERROR(IF('BHPC MANAGER'!$EE220="","",INDEX(inventory[ESISTENZA],MATCH('BHPC MANAGER'!$EE220,inventory[SKU],0))),0)</f>
        <v/>
      </c>
      <c r="EH220" s="336" t="s">
        <v>241</v>
      </c>
      <c r="EI220" s="336" t="str">
        <f t="shared" si="15"/>
        <v/>
      </c>
      <c r="EJ220" s="337" t="s">
        <v>241</v>
      </c>
      <c r="EK220" s="338" t="str">
        <f t="shared" si="16"/>
        <v/>
      </c>
    </row>
    <row r="221" spans="63:141" x14ac:dyDescent="0.35">
      <c r="BK221" s="261"/>
      <c r="BL221" s="262"/>
      <c r="BM221" s="263"/>
      <c r="BN221" s="262"/>
      <c r="BO221" s="263"/>
      <c r="EE221" s="329" t="str">
        <f t="array" ref="EE221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/>
      </c>
      <c r="EF221" s="493" t="str">
        <f t="array" ref="EF221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/>
      </c>
      <c r="EG221" s="330" t="str">
        <f>IFERROR(IF('BHPC MANAGER'!$EE221="","",INDEX(inventory[ESISTENZA],MATCH('BHPC MANAGER'!$EE221,inventory[SKU],0))),0)</f>
        <v/>
      </c>
      <c r="EH221" s="331" t="s">
        <v>241</v>
      </c>
      <c r="EI221" s="331" t="str">
        <f t="shared" si="15"/>
        <v/>
      </c>
      <c r="EJ221" s="332" t="s">
        <v>241</v>
      </c>
      <c r="EK221" s="333" t="str">
        <f t="shared" si="16"/>
        <v/>
      </c>
    </row>
    <row r="222" spans="63:141" x14ac:dyDescent="0.35">
      <c r="BK222" s="261"/>
      <c r="BL222" s="262"/>
      <c r="BM222" s="263"/>
      <c r="BN222" s="262"/>
      <c r="BO222" s="263"/>
      <c r="EE222" s="334" t="str">
        <f t="array" ref="EE222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/>
      </c>
      <c r="EF222" s="494" t="str">
        <f t="array" ref="EF222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/>
      </c>
      <c r="EG222" s="335" t="str">
        <f>IFERROR(IF('BHPC MANAGER'!$EE222="","",INDEX(inventory[ESISTENZA],MATCH('BHPC MANAGER'!$EE222,inventory[SKU],0))),0)</f>
        <v/>
      </c>
      <c r="EH222" s="336" t="s">
        <v>241</v>
      </c>
      <c r="EI222" s="336" t="str">
        <f t="shared" si="15"/>
        <v/>
      </c>
      <c r="EJ222" s="337" t="s">
        <v>241</v>
      </c>
      <c r="EK222" s="338" t="str">
        <f t="shared" si="16"/>
        <v/>
      </c>
    </row>
    <row r="223" spans="63:141" x14ac:dyDescent="0.35">
      <c r="BK223" s="261"/>
      <c r="BL223" s="262"/>
      <c r="BM223" s="263"/>
      <c r="BN223" s="262"/>
      <c r="BO223" s="263"/>
      <c r="EE223" s="329" t="str">
        <f t="array" ref="EE223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/>
      </c>
      <c r="EF223" s="493" t="str">
        <f t="array" ref="EF223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/>
      </c>
      <c r="EG223" s="330" t="str">
        <f>IFERROR(IF('BHPC MANAGER'!$EE223="","",INDEX(inventory[ESISTENZA],MATCH('BHPC MANAGER'!$EE223,inventory[SKU],0))),0)</f>
        <v/>
      </c>
      <c r="EH223" s="331" t="s">
        <v>241</v>
      </c>
      <c r="EI223" s="331" t="str">
        <f t="shared" si="15"/>
        <v/>
      </c>
      <c r="EJ223" s="332" t="s">
        <v>241</v>
      </c>
      <c r="EK223" s="333" t="str">
        <f t="shared" si="16"/>
        <v/>
      </c>
    </row>
    <row r="224" spans="63:141" x14ac:dyDescent="0.35">
      <c r="BK224" s="261"/>
      <c r="BL224" s="262"/>
      <c r="BM224" s="263"/>
      <c r="BN224" s="262"/>
      <c r="BO224" s="263"/>
      <c r="EE224" s="334" t="str">
        <f t="array" ref="EE224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/>
      </c>
      <c r="EF224" s="494" t="str">
        <f t="array" ref="EF224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/>
      </c>
      <c r="EG224" s="335" t="str">
        <f>IFERROR(IF('BHPC MANAGER'!$EE224="","",INDEX(inventory[ESISTENZA],MATCH('BHPC MANAGER'!$EE224,inventory[SKU],0))),0)</f>
        <v/>
      </c>
      <c r="EH224" s="336" t="s">
        <v>241</v>
      </c>
      <c r="EI224" s="336" t="str">
        <f t="shared" si="15"/>
        <v/>
      </c>
      <c r="EJ224" s="337" t="s">
        <v>241</v>
      </c>
      <c r="EK224" s="338" t="str">
        <f t="shared" si="16"/>
        <v/>
      </c>
    </row>
    <row r="225" spans="63:141" x14ac:dyDescent="0.35">
      <c r="BK225" s="261"/>
      <c r="BL225" s="262"/>
      <c r="BM225" s="263"/>
      <c r="BN225" s="262"/>
      <c r="BO225" s="263"/>
      <c r="EE225" s="329" t="str">
        <f t="array" ref="EE225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/>
      </c>
      <c r="EF225" s="493" t="str">
        <f t="array" ref="EF225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/>
      </c>
      <c r="EG225" s="330" t="str">
        <f>IFERROR(IF('BHPC MANAGER'!$EE225="","",INDEX(inventory[ESISTENZA],MATCH('BHPC MANAGER'!$EE225,inventory[SKU],0))),0)</f>
        <v/>
      </c>
      <c r="EH225" s="331" t="s">
        <v>241</v>
      </c>
      <c r="EI225" s="331" t="str">
        <f t="shared" si="15"/>
        <v/>
      </c>
      <c r="EJ225" s="332" t="s">
        <v>241</v>
      </c>
      <c r="EK225" s="333" t="str">
        <f t="shared" si="16"/>
        <v/>
      </c>
    </row>
    <row r="226" spans="63:141" x14ac:dyDescent="0.35">
      <c r="BK226" s="261"/>
      <c r="BL226" s="262"/>
      <c r="BM226" s="263"/>
      <c r="BN226" s="262"/>
      <c r="BO226" s="263"/>
      <c r="EE226" s="334" t="str">
        <f t="array" ref="EE226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/>
      </c>
      <c r="EF226" s="494" t="str">
        <f t="array" ref="EF226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/>
      </c>
      <c r="EG226" s="335" t="str">
        <f>IFERROR(IF('BHPC MANAGER'!$EE226="","",INDEX(inventory[ESISTENZA],MATCH('BHPC MANAGER'!$EE226,inventory[SKU],0))),0)</f>
        <v/>
      </c>
      <c r="EH226" s="336" t="s">
        <v>241</v>
      </c>
      <c r="EI226" s="336" t="str">
        <f t="shared" si="15"/>
        <v/>
      </c>
      <c r="EJ226" s="337" t="s">
        <v>241</v>
      </c>
      <c r="EK226" s="338" t="str">
        <f t="shared" si="16"/>
        <v/>
      </c>
    </row>
    <row r="227" spans="63:141" x14ac:dyDescent="0.35">
      <c r="BK227" s="261"/>
      <c r="BL227" s="262"/>
      <c r="BM227" s="263"/>
      <c r="BN227" s="262"/>
      <c r="BO227" s="263"/>
      <c r="EE227" s="329" t="str">
        <f t="array" ref="EE227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/>
      </c>
      <c r="EF227" s="493" t="str">
        <f t="array" ref="EF227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/>
      </c>
      <c r="EG227" s="330" t="str">
        <f>IFERROR(IF('BHPC MANAGER'!$EE227="","",INDEX(inventory[ESISTENZA],MATCH('BHPC MANAGER'!$EE227,inventory[SKU],0))),0)</f>
        <v/>
      </c>
      <c r="EH227" s="331" t="s">
        <v>241</v>
      </c>
      <c r="EI227" s="331" t="str">
        <f t="shared" si="15"/>
        <v/>
      </c>
      <c r="EJ227" s="332" t="s">
        <v>241</v>
      </c>
      <c r="EK227" s="333" t="str">
        <f t="shared" si="16"/>
        <v/>
      </c>
    </row>
    <row r="228" spans="63:141" x14ac:dyDescent="0.35">
      <c r="BK228" s="261"/>
      <c r="BL228" s="262"/>
      <c r="BM228" s="263"/>
      <c r="BN228" s="262"/>
      <c r="BO228" s="263"/>
      <c r="EE228" s="334" t="str">
        <f t="array" ref="EE228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/>
      </c>
      <c r="EF228" s="494" t="str">
        <f t="array" ref="EF228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/>
      </c>
      <c r="EG228" s="335" t="str">
        <f>IFERROR(IF('BHPC MANAGER'!$EE228="","",INDEX(inventory[ESISTENZA],MATCH('BHPC MANAGER'!$EE228,inventory[SKU],0))),0)</f>
        <v/>
      </c>
      <c r="EH228" s="336" t="s">
        <v>241</v>
      </c>
      <c r="EI228" s="336" t="str">
        <f t="shared" si="15"/>
        <v/>
      </c>
      <c r="EJ228" s="337" t="s">
        <v>241</v>
      </c>
      <c r="EK228" s="338" t="str">
        <f t="shared" si="16"/>
        <v/>
      </c>
    </row>
    <row r="229" spans="63:141" x14ac:dyDescent="0.35">
      <c r="BK229" s="261"/>
      <c r="BL229" s="262"/>
      <c r="BM229" s="263"/>
      <c r="BN229" s="262"/>
      <c r="BO229" s="263"/>
      <c r="EE229" s="329" t="str">
        <f t="array" ref="EE229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/>
      </c>
      <c r="EF229" s="493" t="str">
        <f t="array" ref="EF229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/>
      </c>
      <c r="EG229" s="330" t="str">
        <f>IFERROR(IF('BHPC MANAGER'!$EE229="","",INDEX(inventory[ESISTENZA],MATCH('BHPC MANAGER'!$EE229,inventory[SKU],0))),0)</f>
        <v/>
      </c>
      <c r="EH229" s="331" t="s">
        <v>241</v>
      </c>
      <c r="EI229" s="331" t="str">
        <f t="shared" si="15"/>
        <v/>
      </c>
      <c r="EJ229" s="332" t="s">
        <v>241</v>
      </c>
      <c r="EK229" s="333" t="str">
        <f t="shared" si="16"/>
        <v/>
      </c>
    </row>
    <row r="230" spans="63:141" x14ac:dyDescent="0.35">
      <c r="BK230" s="261"/>
      <c r="BL230" s="262"/>
      <c r="BM230" s="263"/>
      <c r="BN230" s="262"/>
      <c r="BO230" s="263"/>
      <c r="EE230" s="334" t="str">
        <f t="array" ref="EE230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/>
      </c>
      <c r="EF230" s="494" t="str">
        <f t="array" ref="EF230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/>
      </c>
      <c r="EG230" s="335" t="str">
        <f>IFERROR(IF('BHPC MANAGER'!$EE230="","",INDEX(inventory[ESISTENZA],MATCH('BHPC MANAGER'!$EE230,inventory[SKU],0))),0)</f>
        <v/>
      </c>
      <c r="EH230" s="336" t="s">
        <v>241</v>
      </c>
      <c r="EI230" s="336" t="str">
        <f t="shared" si="15"/>
        <v/>
      </c>
      <c r="EJ230" s="337" t="s">
        <v>241</v>
      </c>
      <c r="EK230" s="338" t="str">
        <f t="shared" si="16"/>
        <v/>
      </c>
    </row>
    <row r="231" spans="63:141" x14ac:dyDescent="0.35">
      <c r="BK231" s="261"/>
      <c r="BL231" s="262"/>
      <c r="BM231" s="263"/>
      <c r="BN231" s="262"/>
      <c r="BO231" s="263"/>
      <c r="EE231" s="329" t="str">
        <f t="array" ref="EE231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/>
      </c>
      <c r="EF231" s="493" t="str">
        <f t="array" ref="EF231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/>
      </c>
      <c r="EG231" s="330" t="str">
        <f>IFERROR(IF('BHPC MANAGER'!$EE231="","",INDEX(inventory[ESISTENZA],MATCH('BHPC MANAGER'!$EE231,inventory[SKU],0))),0)</f>
        <v/>
      </c>
      <c r="EH231" s="331" t="s">
        <v>241</v>
      </c>
      <c r="EI231" s="331" t="str">
        <f t="shared" si="15"/>
        <v/>
      </c>
      <c r="EJ231" s="332" t="s">
        <v>241</v>
      </c>
      <c r="EK231" s="333" t="str">
        <f t="shared" si="16"/>
        <v/>
      </c>
    </row>
    <row r="232" spans="63:141" x14ac:dyDescent="0.35">
      <c r="BK232" s="261"/>
      <c r="BL232" s="262"/>
      <c r="BM232" s="263"/>
      <c r="BN232" s="262"/>
      <c r="BO232" s="263"/>
      <c r="EE232" s="334" t="str">
        <f t="array" ref="EE232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/>
      </c>
      <c r="EF232" s="494" t="str">
        <f t="array" ref="EF232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/>
      </c>
      <c r="EG232" s="335" t="str">
        <f>IFERROR(IF('BHPC MANAGER'!$EE232="","",INDEX(inventory[ESISTENZA],MATCH('BHPC MANAGER'!$EE232,inventory[SKU],0))),0)</f>
        <v/>
      </c>
      <c r="EH232" s="336" t="s">
        <v>241</v>
      </c>
      <c r="EI232" s="336" t="str">
        <f t="shared" si="15"/>
        <v/>
      </c>
      <c r="EJ232" s="337" t="s">
        <v>241</v>
      </c>
      <c r="EK232" s="338" t="str">
        <f t="shared" si="16"/>
        <v/>
      </c>
    </row>
    <row r="233" spans="63:141" x14ac:dyDescent="0.35">
      <c r="BK233" s="261"/>
      <c r="BL233" s="262"/>
      <c r="BM233" s="263"/>
      <c r="BN233" s="262"/>
      <c r="BO233" s="263"/>
      <c r="EE233" s="329" t="str">
        <f t="array" ref="EE233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/>
      </c>
      <c r="EF233" s="493" t="str">
        <f t="array" ref="EF233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/>
      </c>
      <c r="EG233" s="330" t="str">
        <f>IFERROR(IF('BHPC MANAGER'!$EE233="","",INDEX(inventory[ESISTENZA],MATCH('BHPC MANAGER'!$EE233,inventory[SKU],0))),0)</f>
        <v/>
      </c>
      <c r="EH233" s="331" t="s">
        <v>241</v>
      </c>
      <c r="EI233" s="331" t="str">
        <f t="shared" si="15"/>
        <v/>
      </c>
      <c r="EJ233" s="332" t="s">
        <v>241</v>
      </c>
      <c r="EK233" s="333" t="str">
        <f t="shared" si="16"/>
        <v/>
      </c>
    </row>
    <row r="234" spans="63:141" x14ac:dyDescent="0.35">
      <c r="BK234" s="261"/>
      <c r="BL234" s="262"/>
      <c r="BM234" s="263"/>
      <c r="BN234" s="262"/>
      <c r="BO234" s="263"/>
      <c r="EE234" s="334" t="str">
        <f t="array" ref="EE234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/>
      </c>
      <c r="EF234" s="494" t="str">
        <f t="array" ref="EF234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/>
      </c>
      <c r="EG234" s="335" t="str">
        <f>IFERROR(IF('BHPC MANAGER'!$EE234="","",INDEX(inventory[ESISTENZA],MATCH('BHPC MANAGER'!$EE234,inventory[SKU],0))),0)</f>
        <v/>
      </c>
      <c r="EH234" s="336" t="s">
        <v>241</v>
      </c>
      <c r="EI234" s="336" t="str">
        <f t="shared" si="15"/>
        <v/>
      </c>
      <c r="EJ234" s="337" t="s">
        <v>241</v>
      </c>
      <c r="EK234" s="338" t="str">
        <f t="shared" si="16"/>
        <v/>
      </c>
    </row>
    <row r="235" spans="63:141" x14ac:dyDescent="0.35">
      <c r="BK235" s="261"/>
      <c r="BL235" s="262"/>
      <c r="BM235" s="263"/>
      <c r="BN235" s="262"/>
      <c r="BO235" s="263"/>
      <c r="EE235" s="329" t="str">
        <f t="array" ref="EE235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/>
      </c>
      <c r="EF235" s="493" t="str">
        <f t="array" ref="EF235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/>
      </c>
      <c r="EG235" s="330" t="str">
        <f>IFERROR(IF('BHPC MANAGER'!$EE235="","",INDEX(inventory[ESISTENZA],MATCH('BHPC MANAGER'!$EE235,inventory[SKU],0))),0)</f>
        <v/>
      </c>
      <c r="EH235" s="331" t="s">
        <v>241</v>
      </c>
      <c r="EI235" s="331" t="str">
        <f t="shared" si="15"/>
        <v/>
      </c>
      <c r="EJ235" s="332" t="s">
        <v>241</v>
      </c>
      <c r="EK235" s="333" t="str">
        <f t="shared" si="16"/>
        <v/>
      </c>
    </row>
    <row r="236" spans="63:141" x14ac:dyDescent="0.35">
      <c r="BK236" s="261"/>
      <c r="BL236" s="262"/>
      <c r="BM236" s="263"/>
      <c r="BN236" s="262"/>
      <c r="BO236" s="263"/>
      <c r="EE236" s="334" t="str">
        <f t="array" ref="EE236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/>
      </c>
      <c r="EF236" s="494" t="str">
        <f t="array" ref="EF236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/>
      </c>
      <c r="EG236" s="335" t="str">
        <f>IFERROR(IF('BHPC MANAGER'!$EE236="","",INDEX(inventory[ESISTENZA],MATCH('BHPC MANAGER'!$EE236,inventory[SKU],0))),0)</f>
        <v/>
      </c>
      <c r="EH236" s="336" t="s">
        <v>241</v>
      </c>
      <c r="EI236" s="336" t="str">
        <f t="shared" si="15"/>
        <v/>
      </c>
      <c r="EJ236" s="337" t="s">
        <v>241</v>
      </c>
      <c r="EK236" s="338" t="str">
        <f t="shared" si="16"/>
        <v/>
      </c>
    </row>
    <row r="237" spans="63:141" x14ac:dyDescent="0.35">
      <c r="BK237" s="261"/>
      <c r="BL237" s="262"/>
      <c r="BM237" s="263"/>
      <c r="BN237" s="262"/>
      <c r="BO237" s="263"/>
      <c r="EE237" s="329" t="str">
        <f t="array" ref="EE237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/>
      </c>
      <c r="EF237" s="493" t="str">
        <f t="array" ref="EF237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/>
      </c>
      <c r="EG237" s="330" t="str">
        <f>IFERROR(IF('BHPC MANAGER'!$EE237="","",INDEX(inventory[ESISTENZA],MATCH('BHPC MANAGER'!$EE237,inventory[SKU],0))),0)</f>
        <v/>
      </c>
      <c r="EH237" s="331" t="s">
        <v>241</v>
      </c>
      <c r="EI237" s="331" t="str">
        <f t="shared" si="15"/>
        <v/>
      </c>
      <c r="EJ237" s="332" t="s">
        <v>241</v>
      </c>
      <c r="EK237" s="333" t="str">
        <f t="shared" si="16"/>
        <v/>
      </c>
    </row>
    <row r="238" spans="63:141" x14ac:dyDescent="0.35">
      <c r="BK238" s="261"/>
      <c r="BL238" s="262"/>
      <c r="BM238" s="263"/>
      <c r="BN238" s="262"/>
      <c r="BO238" s="263"/>
      <c r="EE238" s="334" t="str">
        <f t="array" ref="EE238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/>
      </c>
      <c r="EF238" s="494" t="str">
        <f t="array" ref="EF238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/>
      </c>
      <c r="EG238" s="335" t="str">
        <f>IFERROR(IF('BHPC MANAGER'!$EE238="","",INDEX(inventory[ESISTENZA],MATCH('BHPC MANAGER'!$EE238,inventory[SKU],0))),0)</f>
        <v/>
      </c>
      <c r="EH238" s="336" t="s">
        <v>241</v>
      </c>
      <c r="EI238" s="336" t="str">
        <f t="shared" si="15"/>
        <v/>
      </c>
      <c r="EJ238" s="337" t="s">
        <v>241</v>
      </c>
      <c r="EK238" s="338" t="str">
        <f t="shared" si="16"/>
        <v/>
      </c>
    </row>
    <row r="239" spans="63:141" x14ac:dyDescent="0.35">
      <c r="BK239" s="261"/>
      <c r="BL239" s="262"/>
      <c r="BM239" s="263"/>
      <c r="BN239" s="262"/>
      <c r="BO239" s="263"/>
      <c r="EE239" s="329" t="str">
        <f t="array" ref="EE239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/>
      </c>
      <c r="EF239" s="493" t="str">
        <f t="array" ref="EF239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/>
      </c>
      <c r="EG239" s="330" t="str">
        <f>IFERROR(IF('BHPC MANAGER'!$EE239="","",INDEX(inventory[ESISTENZA],MATCH('BHPC MANAGER'!$EE239,inventory[SKU],0))),0)</f>
        <v/>
      </c>
      <c r="EH239" s="331" t="s">
        <v>241</v>
      </c>
      <c r="EI239" s="331" t="str">
        <f t="shared" si="15"/>
        <v/>
      </c>
      <c r="EJ239" s="332" t="s">
        <v>241</v>
      </c>
      <c r="EK239" s="333" t="str">
        <f t="shared" si="16"/>
        <v/>
      </c>
    </row>
    <row r="240" spans="63:141" x14ac:dyDescent="0.35">
      <c r="BK240" s="261"/>
      <c r="BL240" s="262"/>
      <c r="BM240" s="263"/>
      <c r="BN240" s="262"/>
      <c r="BO240" s="263"/>
      <c r="EE240" s="334" t="str">
        <f t="array" ref="EE240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/>
      </c>
      <c r="EF240" s="494" t="str">
        <f t="array" ref="EF240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/>
      </c>
      <c r="EG240" s="335" t="str">
        <f>IFERROR(IF('BHPC MANAGER'!$EE240="","",INDEX(inventory[ESISTENZA],MATCH('BHPC MANAGER'!$EE240,inventory[SKU],0))),0)</f>
        <v/>
      </c>
      <c r="EH240" s="336" t="s">
        <v>241</v>
      </c>
      <c r="EI240" s="336" t="str">
        <f t="shared" si="15"/>
        <v/>
      </c>
      <c r="EJ240" s="337" t="s">
        <v>241</v>
      </c>
      <c r="EK240" s="338" t="str">
        <f t="shared" si="16"/>
        <v/>
      </c>
    </row>
    <row r="241" spans="63:141" x14ac:dyDescent="0.35">
      <c r="BK241" s="261"/>
      <c r="BL241" s="262"/>
      <c r="BM241" s="263"/>
      <c r="BN241" s="262"/>
      <c r="BO241" s="263"/>
      <c r="EE241" s="329" t="str">
        <f t="array" ref="EE241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/>
      </c>
      <c r="EF241" s="493" t="str">
        <f t="array" ref="EF241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/>
      </c>
      <c r="EG241" s="330" t="str">
        <f>IFERROR(IF('BHPC MANAGER'!$EE241="","",INDEX(inventory[ESISTENZA],MATCH('BHPC MANAGER'!$EE241,inventory[SKU],0))),0)</f>
        <v/>
      </c>
      <c r="EH241" s="331" t="s">
        <v>241</v>
      </c>
      <c r="EI241" s="331" t="str">
        <f t="shared" si="15"/>
        <v/>
      </c>
      <c r="EJ241" s="332" t="s">
        <v>241</v>
      </c>
      <c r="EK241" s="333" t="str">
        <f t="shared" si="16"/>
        <v/>
      </c>
    </row>
    <row r="242" spans="63:141" x14ac:dyDescent="0.35">
      <c r="BK242" s="261"/>
      <c r="BL242" s="262"/>
      <c r="BM242" s="263"/>
      <c r="BN242" s="262"/>
      <c r="BO242" s="263"/>
      <c r="EE242" s="334" t="str">
        <f t="array" ref="EE242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/>
      </c>
      <c r="EF242" s="494" t="str">
        <f t="array" ref="EF242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/>
      </c>
      <c r="EG242" s="335" t="str">
        <f>IFERROR(IF('BHPC MANAGER'!$EE242="","",INDEX(inventory[ESISTENZA],MATCH('BHPC MANAGER'!$EE242,inventory[SKU],0))),0)</f>
        <v/>
      </c>
      <c r="EH242" s="336" t="s">
        <v>241</v>
      </c>
      <c r="EI242" s="336" t="str">
        <f t="shared" si="15"/>
        <v/>
      </c>
      <c r="EJ242" s="337" t="s">
        <v>241</v>
      </c>
      <c r="EK242" s="338" t="str">
        <f t="shared" si="16"/>
        <v/>
      </c>
    </row>
    <row r="243" spans="63:141" x14ac:dyDescent="0.35">
      <c r="BK243" s="261"/>
      <c r="BL243" s="262"/>
      <c r="BM243" s="263"/>
      <c r="BN243" s="262"/>
      <c r="BO243" s="263"/>
      <c r="EE243" s="329" t="str">
        <f t="array" ref="EE243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/>
      </c>
      <c r="EF243" s="493" t="str">
        <f t="array" ref="EF243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/>
      </c>
      <c r="EG243" s="330" t="str">
        <f>IFERROR(IF('BHPC MANAGER'!$EE243="","",INDEX(inventory[ESISTENZA],MATCH('BHPC MANAGER'!$EE243,inventory[SKU],0))),0)</f>
        <v/>
      </c>
      <c r="EH243" s="331" t="s">
        <v>241</v>
      </c>
      <c r="EI243" s="331" t="str">
        <f t="shared" si="15"/>
        <v/>
      </c>
      <c r="EJ243" s="332" t="s">
        <v>241</v>
      </c>
      <c r="EK243" s="333" t="str">
        <f t="shared" si="16"/>
        <v/>
      </c>
    </row>
    <row r="244" spans="63:141" x14ac:dyDescent="0.35">
      <c r="BK244" s="261"/>
      <c r="BL244" s="262"/>
      <c r="BM244" s="263"/>
      <c r="BN244" s="262"/>
      <c r="BO244" s="263"/>
      <c r="EE244" s="334" t="str">
        <f t="array" ref="EE244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/>
      </c>
      <c r="EF244" s="494" t="str">
        <f t="array" ref="EF244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/>
      </c>
      <c r="EG244" s="335" t="str">
        <f>IFERROR(IF('BHPC MANAGER'!$EE244="","",INDEX(inventory[ESISTENZA],MATCH('BHPC MANAGER'!$EE244,inventory[SKU],0))),0)</f>
        <v/>
      </c>
      <c r="EH244" s="336" t="s">
        <v>241</v>
      </c>
      <c r="EI244" s="336" t="str">
        <f t="shared" si="15"/>
        <v/>
      </c>
      <c r="EJ244" s="337" t="s">
        <v>241</v>
      </c>
      <c r="EK244" s="338" t="str">
        <f t="shared" si="16"/>
        <v/>
      </c>
    </row>
    <row r="245" spans="63:141" x14ac:dyDescent="0.35">
      <c r="BK245" s="261"/>
      <c r="BL245" s="262"/>
      <c r="BM245" s="263"/>
      <c r="BN245" s="262"/>
      <c r="BO245" s="263"/>
      <c r="EE245" s="329" t="str">
        <f t="array" ref="EE245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/>
      </c>
      <c r="EF245" s="493" t="str">
        <f t="array" ref="EF245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/>
      </c>
      <c r="EG245" s="330" t="str">
        <f>IFERROR(IF('BHPC MANAGER'!$EE245="","",INDEX(inventory[ESISTENZA],MATCH('BHPC MANAGER'!$EE245,inventory[SKU],0))),0)</f>
        <v/>
      </c>
      <c r="EH245" s="331" t="s">
        <v>241</v>
      </c>
      <c r="EI245" s="331" t="str">
        <f t="shared" si="15"/>
        <v/>
      </c>
      <c r="EJ245" s="332" t="s">
        <v>241</v>
      </c>
      <c r="EK245" s="333" t="str">
        <f t="shared" si="16"/>
        <v/>
      </c>
    </row>
    <row r="246" spans="63:141" x14ac:dyDescent="0.35">
      <c r="BK246" s="261"/>
      <c r="BL246" s="262"/>
      <c r="BM246" s="263"/>
      <c r="BN246" s="262"/>
      <c r="BO246" s="263"/>
      <c r="EE246" s="334" t="str">
        <f t="array" ref="EE246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/>
      </c>
      <c r="EF246" s="494" t="str">
        <f t="array" ref="EF246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/>
      </c>
      <c r="EG246" s="335" t="str">
        <f>IFERROR(IF('BHPC MANAGER'!$EE246="","",INDEX(inventory[ESISTENZA],MATCH('BHPC MANAGER'!$EE246,inventory[SKU],0))),0)</f>
        <v/>
      </c>
      <c r="EH246" s="336" t="s">
        <v>241</v>
      </c>
      <c r="EI246" s="336" t="str">
        <f t="shared" si="15"/>
        <v/>
      </c>
      <c r="EJ246" s="337" t="s">
        <v>241</v>
      </c>
      <c r="EK246" s="338" t="str">
        <f t="shared" si="16"/>
        <v/>
      </c>
    </row>
    <row r="247" spans="63:141" x14ac:dyDescent="0.35">
      <c r="BK247" s="261"/>
      <c r="BL247" s="262"/>
      <c r="BM247" s="263"/>
      <c r="BN247" s="262"/>
      <c r="BO247" s="263"/>
      <c r="EE247" s="329" t="str">
        <f t="array" ref="EE247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/>
      </c>
      <c r="EF247" s="493" t="str">
        <f t="array" ref="EF247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/>
      </c>
      <c r="EG247" s="330" t="str">
        <f>IFERROR(IF('BHPC MANAGER'!$EE247="","",INDEX(inventory[ESISTENZA],MATCH('BHPC MANAGER'!$EE247,inventory[SKU],0))),0)</f>
        <v/>
      </c>
      <c r="EH247" s="331" t="s">
        <v>241</v>
      </c>
      <c r="EI247" s="331" t="str">
        <f t="shared" si="15"/>
        <v/>
      </c>
      <c r="EJ247" s="332" t="s">
        <v>241</v>
      </c>
      <c r="EK247" s="333" t="str">
        <f t="shared" si="16"/>
        <v/>
      </c>
    </row>
    <row r="248" spans="63:141" x14ac:dyDescent="0.35">
      <c r="BK248" s="261"/>
      <c r="BL248" s="262"/>
      <c r="BM248" s="263"/>
      <c r="BN248" s="262"/>
      <c r="BO248" s="263"/>
      <c r="EE248" s="334" t="str">
        <f t="array" ref="EE248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/>
      </c>
      <c r="EF248" s="494" t="str">
        <f t="array" ref="EF248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/>
      </c>
      <c r="EG248" s="335" t="str">
        <f>IFERROR(IF('BHPC MANAGER'!$EE248="","",INDEX(inventory[ESISTENZA],MATCH('BHPC MANAGER'!$EE248,inventory[SKU],0))),0)</f>
        <v/>
      </c>
      <c r="EH248" s="336" t="s">
        <v>241</v>
      </c>
      <c r="EI248" s="336" t="str">
        <f t="shared" si="15"/>
        <v/>
      </c>
      <c r="EJ248" s="337" t="s">
        <v>241</v>
      </c>
      <c r="EK248" s="338" t="str">
        <f t="shared" si="16"/>
        <v/>
      </c>
    </row>
    <row r="249" spans="63:141" x14ac:dyDescent="0.35">
      <c r="BK249" s="261"/>
      <c r="BL249" s="262"/>
      <c r="BM249" s="263"/>
      <c r="BN249" s="262"/>
      <c r="BO249" s="263"/>
      <c r="EE249" s="329" t="str">
        <f t="array" ref="EE249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/>
      </c>
      <c r="EF249" s="493" t="str">
        <f t="array" ref="EF249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/>
      </c>
      <c r="EG249" s="330" t="str">
        <f>IFERROR(IF('BHPC MANAGER'!$EE249="","",INDEX(inventory[ESISTENZA],MATCH('BHPC MANAGER'!$EE249,inventory[SKU],0))),0)</f>
        <v/>
      </c>
      <c r="EH249" s="331" t="s">
        <v>241</v>
      </c>
      <c r="EI249" s="331" t="str">
        <f t="shared" si="15"/>
        <v/>
      </c>
      <c r="EJ249" s="332" t="s">
        <v>241</v>
      </c>
      <c r="EK249" s="333" t="str">
        <f t="shared" si="16"/>
        <v/>
      </c>
    </row>
    <row r="250" spans="63:141" x14ac:dyDescent="0.35">
      <c r="BK250" s="264"/>
      <c r="BL250" s="265"/>
      <c r="BM250" s="266"/>
      <c r="BN250" s="265"/>
      <c r="BO250" s="266"/>
      <c r="EE250" s="334" t="str">
        <f t="array" ref="EE250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/>
      </c>
      <c r="EF250" s="494" t="str">
        <f t="array" ref="EF250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/>
      </c>
      <c r="EG250" s="335" t="str">
        <f>IFERROR(IF('BHPC MANAGER'!$EE250="","",INDEX(inventory[ESISTENZA],MATCH('BHPC MANAGER'!$EE250,inventory[SKU],0))),0)</f>
        <v/>
      </c>
      <c r="EH250" s="336" t="s">
        <v>241</v>
      </c>
      <c r="EI250" s="336" t="str">
        <f t="shared" si="15"/>
        <v/>
      </c>
      <c r="EJ250" s="337" t="s">
        <v>241</v>
      </c>
      <c r="EK250" s="338" t="str">
        <f t="shared" si="16"/>
        <v/>
      </c>
    </row>
    <row r="251" spans="63:141" x14ac:dyDescent="0.35">
      <c r="EE251" s="329" t="str">
        <f t="array" ref="EE251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/>
      </c>
      <c r="EF251" s="493" t="str">
        <f t="array" ref="EF251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/>
      </c>
      <c r="EG251" s="330" t="str">
        <f>IFERROR(IF('BHPC MANAGER'!$EE251="","",INDEX(inventory[ESISTENZA],MATCH('BHPC MANAGER'!$EE251,inventory[SKU],0))),0)</f>
        <v/>
      </c>
      <c r="EH251" s="331" t="s">
        <v>241</v>
      </c>
      <c r="EI251" s="331" t="str">
        <f t="shared" si="15"/>
        <v/>
      </c>
      <c r="EJ251" s="332" t="s">
        <v>241</v>
      </c>
      <c r="EK251" s="333" t="str">
        <f t="shared" si="16"/>
        <v/>
      </c>
    </row>
    <row r="252" spans="63:141" x14ac:dyDescent="0.35">
      <c r="EE252" s="334" t="str">
        <f t="array" ref="EE252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/>
      </c>
      <c r="EF252" s="494" t="str">
        <f t="array" ref="EF252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/>
      </c>
      <c r="EG252" s="335" t="str">
        <f>IFERROR(IF('BHPC MANAGER'!$EE252="","",INDEX(inventory[ESISTENZA],MATCH('BHPC MANAGER'!$EE252,inventory[SKU],0))),0)</f>
        <v/>
      </c>
      <c r="EH252" s="336" t="s">
        <v>241</v>
      </c>
      <c r="EI252" s="336" t="str">
        <f t="shared" si="15"/>
        <v/>
      </c>
      <c r="EJ252" s="337" t="s">
        <v>241</v>
      </c>
      <c r="EK252" s="338" t="str">
        <f t="shared" si="16"/>
        <v/>
      </c>
    </row>
    <row r="253" spans="63:141" x14ac:dyDescent="0.35">
      <c r="EE253" s="329" t="str">
        <f t="array" ref="EE253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/>
      </c>
      <c r="EF253" s="493" t="str">
        <f t="array" ref="EF253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/>
      </c>
      <c r="EG253" s="330" t="str">
        <f>IFERROR(IF('BHPC MANAGER'!$EE253="","",INDEX(inventory[ESISTENZA],MATCH('BHPC MANAGER'!$EE253,inventory[SKU],0))),0)</f>
        <v/>
      </c>
      <c r="EH253" s="331" t="s">
        <v>241</v>
      </c>
      <c r="EI253" s="331" t="str">
        <f t="shared" si="15"/>
        <v/>
      </c>
      <c r="EJ253" s="332" t="s">
        <v>241</v>
      </c>
      <c r="EK253" s="333" t="str">
        <f t="shared" si="16"/>
        <v/>
      </c>
    </row>
    <row r="254" spans="63:141" x14ac:dyDescent="0.35">
      <c r="EE254" s="334" t="str">
        <f t="array" ref="EE254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/>
      </c>
      <c r="EF254" s="494" t="str">
        <f t="array" ref="EF254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/>
      </c>
      <c r="EG254" s="335" t="str">
        <f>IFERROR(IF('BHPC MANAGER'!$EE254="","",INDEX(inventory[ESISTENZA],MATCH('BHPC MANAGER'!$EE254,inventory[SKU],0))),0)</f>
        <v/>
      </c>
      <c r="EH254" s="336" t="s">
        <v>241</v>
      </c>
      <c r="EI254" s="336" t="str">
        <f t="shared" si="15"/>
        <v/>
      </c>
      <c r="EJ254" s="337" t="s">
        <v>241</v>
      </c>
      <c r="EK254" s="338" t="str">
        <f t="shared" si="16"/>
        <v/>
      </c>
    </row>
    <row r="255" spans="63:141" x14ac:dyDescent="0.35">
      <c r="EE255" s="329" t="str">
        <f t="array" ref="EE255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/>
      </c>
      <c r="EF255" s="493" t="str">
        <f t="array" ref="EF255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/>
      </c>
      <c r="EG255" s="330" t="str">
        <f>IFERROR(IF('BHPC MANAGER'!$EE255="","",INDEX(inventory[ESISTENZA],MATCH('BHPC MANAGER'!$EE255,inventory[SKU],0))),0)</f>
        <v/>
      </c>
      <c r="EH255" s="331" t="s">
        <v>241</v>
      </c>
      <c r="EI255" s="331" t="str">
        <f t="shared" si="15"/>
        <v/>
      </c>
      <c r="EJ255" s="332" t="s">
        <v>241</v>
      </c>
      <c r="EK255" s="333" t="str">
        <f t="shared" si="16"/>
        <v/>
      </c>
    </row>
    <row r="256" spans="63:141" x14ac:dyDescent="0.35">
      <c r="EE256" s="334" t="str">
        <f t="array" ref="EE256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/>
      </c>
      <c r="EF256" s="494" t="str">
        <f t="array" ref="EF256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/>
      </c>
      <c r="EG256" s="335" t="str">
        <f>IFERROR(IF('BHPC MANAGER'!$EE256="","",INDEX(inventory[ESISTENZA],MATCH('BHPC MANAGER'!$EE256,inventory[SKU],0))),0)</f>
        <v/>
      </c>
      <c r="EH256" s="336" t="s">
        <v>241</v>
      </c>
      <c r="EI256" s="336" t="str">
        <f t="shared" si="15"/>
        <v/>
      </c>
      <c r="EJ256" s="337" t="s">
        <v>241</v>
      </c>
      <c r="EK256" s="338" t="str">
        <f t="shared" si="16"/>
        <v/>
      </c>
    </row>
    <row r="257" spans="135:141" x14ac:dyDescent="0.35">
      <c r="EE257" s="329" t="str">
        <f t="array" ref="EE257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/>
      </c>
      <c r="EF257" s="493" t="str">
        <f t="array" ref="EF257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/>
      </c>
      <c r="EG257" s="330" t="str">
        <f>IFERROR(IF('BHPC MANAGER'!$EE257="","",INDEX(inventory[ESISTENZA],MATCH('BHPC MANAGER'!$EE257,inventory[SKU],0))),0)</f>
        <v/>
      </c>
      <c r="EH257" s="331" t="s">
        <v>241</v>
      </c>
      <c r="EI257" s="331" t="str">
        <f t="shared" si="15"/>
        <v/>
      </c>
      <c r="EJ257" s="332" t="s">
        <v>241</v>
      </c>
      <c r="EK257" s="333" t="str">
        <f t="shared" si="16"/>
        <v/>
      </c>
    </row>
    <row r="258" spans="135:141" x14ac:dyDescent="0.35">
      <c r="EE258" s="334" t="str">
        <f t="array" ref="EE258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/>
      </c>
      <c r="EF258" s="494" t="str">
        <f t="array" ref="EF258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/>
      </c>
      <c r="EG258" s="335" t="str">
        <f>IFERROR(IF('BHPC MANAGER'!$EE258="","",INDEX(inventory[ESISTENZA],MATCH('BHPC MANAGER'!$EE258,inventory[SKU],0))),0)</f>
        <v/>
      </c>
      <c r="EH258" s="336" t="s">
        <v>241</v>
      </c>
      <c r="EI258" s="336" t="str">
        <f t="shared" si="15"/>
        <v/>
      </c>
      <c r="EJ258" s="337" t="s">
        <v>241</v>
      </c>
      <c r="EK258" s="338" t="str">
        <f t="shared" si="16"/>
        <v/>
      </c>
    </row>
    <row r="259" spans="135:141" x14ac:dyDescent="0.35">
      <c r="EE259" s="329" t="str">
        <f t="array" ref="EE259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/>
      </c>
      <c r="EF259" s="493" t="str">
        <f t="array" ref="EF259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/>
      </c>
      <c r="EG259" s="330" t="str">
        <f>IFERROR(IF('BHPC MANAGER'!$EE259="","",INDEX(inventory[ESISTENZA],MATCH('BHPC MANAGER'!$EE259,inventory[SKU],0))),0)</f>
        <v/>
      </c>
      <c r="EH259" s="331" t="s">
        <v>241</v>
      </c>
      <c r="EI259" s="331" t="str">
        <f t="shared" si="15"/>
        <v/>
      </c>
      <c r="EJ259" s="332" t="s">
        <v>241</v>
      </c>
      <c r="EK259" s="333" t="str">
        <f t="shared" si="16"/>
        <v/>
      </c>
    </row>
    <row r="260" spans="135:141" x14ac:dyDescent="0.35">
      <c r="EE260" s="334" t="str">
        <f t="array" ref="EE260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/>
      </c>
      <c r="EF260" s="494" t="str">
        <f t="array" ref="EF260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/>
      </c>
      <c r="EG260" s="335" t="str">
        <f>IFERROR(IF('BHPC MANAGER'!$EE260="","",INDEX(inventory[ESISTENZA],MATCH('BHPC MANAGER'!$EE260,inventory[SKU],0))),0)</f>
        <v/>
      </c>
      <c r="EH260" s="336" t="s">
        <v>241</v>
      </c>
      <c r="EI260" s="336" t="str">
        <f t="shared" si="15"/>
        <v/>
      </c>
      <c r="EJ260" s="337" t="s">
        <v>241</v>
      </c>
      <c r="EK260" s="338" t="str">
        <f t="shared" si="16"/>
        <v/>
      </c>
    </row>
    <row r="261" spans="135:141" x14ac:dyDescent="0.35">
      <c r="EE261" s="329" t="str">
        <f t="array" ref="EE261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/>
      </c>
      <c r="EF261" s="493" t="str">
        <f t="array" ref="EF261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/>
      </c>
      <c r="EG261" s="330" t="str">
        <f>IFERROR(IF('BHPC MANAGER'!$EE261="","",INDEX(inventory[ESISTENZA],MATCH('BHPC MANAGER'!$EE261,inventory[SKU],0))),0)</f>
        <v/>
      </c>
      <c r="EH261" s="331" t="s">
        <v>241</v>
      </c>
      <c r="EI261" s="331" t="str">
        <f t="shared" si="15"/>
        <v/>
      </c>
      <c r="EJ261" s="332" t="s">
        <v>241</v>
      </c>
      <c r="EK261" s="333" t="str">
        <f t="shared" si="16"/>
        <v/>
      </c>
    </row>
    <row r="262" spans="135:141" x14ac:dyDescent="0.35">
      <c r="EE262" s="334" t="str">
        <f t="array" ref="EE262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494" t="str">
        <f t="array" ref="EF262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35" t="str">
        <f>IFERROR(IF('BHPC MANAGER'!$EE262="","",INDEX(inventory[ESISTENZA],MATCH('BHPC MANAGER'!$EE262,inventory[SKU],0))),0)</f>
        <v/>
      </c>
      <c r="EH262" s="336"/>
      <c r="EI262" s="336" t="str">
        <f t="shared" si="15"/>
        <v/>
      </c>
      <c r="EJ262" s="337"/>
      <c r="EK262" s="338" t="str">
        <f t="shared" si="16"/>
        <v/>
      </c>
    </row>
    <row r="263" spans="135:141" x14ac:dyDescent="0.35">
      <c r="EE263" s="329" t="str">
        <f t="array" ref="EE263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493" t="str">
        <f t="array" ref="EF263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30" t="str">
        <f>IFERROR(IF('BHPC MANAGER'!$EE263="","",INDEX(inventory[ESISTENZA],MATCH('BHPC MANAGER'!$EE263,inventory[SKU],0))),0)</f>
        <v/>
      </c>
      <c r="EH263" s="331"/>
      <c r="EI263" s="331" t="str">
        <f t="shared" si="15"/>
        <v/>
      </c>
      <c r="EJ263" s="332"/>
      <c r="EK263" s="333" t="str">
        <f t="shared" si="16"/>
        <v/>
      </c>
    </row>
    <row r="264" spans="135:141" x14ac:dyDescent="0.35">
      <c r="EE264" s="334" t="str">
        <f t="array" ref="EE264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494" t="str">
        <f t="array" ref="EF264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35" t="str">
        <f>IFERROR(IF('BHPC MANAGER'!$EE264="","",INDEX(inventory[ESISTENZA],MATCH('BHPC MANAGER'!$EE264,inventory[SKU],0))),0)</f>
        <v/>
      </c>
      <c r="EH264" s="336"/>
      <c r="EI264" s="336" t="str">
        <f t="shared" si="15"/>
        <v/>
      </c>
      <c r="EJ264" s="337"/>
      <c r="EK264" s="338" t="str">
        <f t="shared" si="16"/>
        <v/>
      </c>
    </row>
    <row r="265" spans="135:141" x14ac:dyDescent="0.35">
      <c r="EE265" s="329" t="str">
        <f t="array" ref="EE265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493" t="str">
        <f t="array" ref="EF265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30" t="str">
        <f>IFERROR(IF('BHPC MANAGER'!$EE265="","",INDEX(inventory[ESISTENZA],MATCH('BHPC MANAGER'!$EE265,inventory[SKU],0))),0)</f>
        <v/>
      </c>
      <c r="EH265" s="331"/>
      <c r="EI265" s="331" t="str">
        <f t="shared" ref="EI265:EI328" si="17">IF(EE265="","",IFERROR(EG265+EH265,EG265))</f>
        <v/>
      </c>
      <c r="EJ265" s="332"/>
      <c r="EK265" s="333" t="str">
        <f t="shared" ref="EK265:EK328" si="18">IF(EE265="","",IFERROR(EI265+EJ265,EI265))</f>
        <v/>
      </c>
    </row>
    <row r="266" spans="135:141" x14ac:dyDescent="0.35">
      <c r="EE266" s="334" t="str">
        <f t="array" ref="EE266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494" t="str">
        <f t="array" ref="EF266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35" t="str">
        <f>IFERROR(IF('BHPC MANAGER'!$EE266="","",INDEX(inventory[ESISTENZA],MATCH('BHPC MANAGER'!$EE266,inventory[SKU],0))),0)</f>
        <v/>
      </c>
      <c r="EH266" s="336"/>
      <c r="EI266" s="336" t="str">
        <f t="shared" si="17"/>
        <v/>
      </c>
      <c r="EJ266" s="337"/>
      <c r="EK266" s="338" t="str">
        <f t="shared" si="18"/>
        <v/>
      </c>
    </row>
    <row r="267" spans="135:141" x14ac:dyDescent="0.35">
      <c r="EE267" s="329" t="str">
        <f t="array" ref="EE267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493" t="str">
        <f t="array" ref="EF267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30" t="str">
        <f>IFERROR(IF('BHPC MANAGER'!$EE267="","",INDEX(inventory[ESISTENZA],MATCH('BHPC MANAGER'!$EE267,inventory[SKU],0))),0)</f>
        <v/>
      </c>
      <c r="EH267" s="331"/>
      <c r="EI267" s="331" t="str">
        <f t="shared" si="17"/>
        <v/>
      </c>
      <c r="EJ267" s="332"/>
      <c r="EK267" s="333" t="str">
        <f t="shared" si="18"/>
        <v/>
      </c>
    </row>
    <row r="268" spans="135:141" x14ac:dyDescent="0.35">
      <c r="EE268" s="334" t="str">
        <f t="array" ref="EE268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494" t="str">
        <f t="array" ref="EF268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35" t="str">
        <f>IFERROR(IF('BHPC MANAGER'!$EE268="","",INDEX(inventory[ESISTENZA],MATCH('BHPC MANAGER'!$EE268,inventory[SKU],0))),0)</f>
        <v/>
      </c>
      <c r="EH268" s="336"/>
      <c r="EI268" s="336" t="str">
        <f t="shared" si="17"/>
        <v/>
      </c>
      <c r="EJ268" s="337"/>
      <c r="EK268" s="338" t="str">
        <f t="shared" si="18"/>
        <v/>
      </c>
    </row>
    <row r="269" spans="135:141" x14ac:dyDescent="0.35">
      <c r="EE269" s="329" t="str">
        <f t="array" ref="EE269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493" t="str">
        <f t="array" ref="EF269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30" t="str">
        <f>IFERROR(IF('BHPC MANAGER'!$EE269="","",INDEX(inventory[ESISTENZA],MATCH('BHPC MANAGER'!$EE269,inventory[SKU],0))),0)</f>
        <v/>
      </c>
      <c r="EH269" s="331"/>
      <c r="EI269" s="331" t="str">
        <f t="shared" si="17"/>
        <v/>
      </c>
      <c r="EJ269" s="332"/>
      <c r="EK269" s="333" t="str">
        <f t="shared" si="18"/>
        <v/>
      </c>
    </row>
    <row r="270" spans="135:141" x14ac:dyDescent="0.35">
      <c r="EE270" s="334" t="str">
        <f t="array" ref="EE270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494" t="str">
        <f t="array" ref="EF270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35" t="str">
        <f>IFERROR(IF('BHPC MANAGER'!$EE270="","",INDEX(inventory[ESISTENZA],MATCH('BHPC MANAGER'!$EE270,inventory[SKU],0))),0)</f>
        <v/>
      </c>
      <c r="EH270" s="336"/>
      <c r="EI270" s="336" t="str">
        <f t="shared" si="17"/>
        <v/>
      </c>
      <c r="EJ270" s="337"/>
      <c r="EK270" s="338" t="str">
        <f t="shared" si="18"/>
        <v/>
      </c>
    </row>
    <row r="271" spans="135:141" x14ac:dyDescent="0.35">
      <c r="EE271" s="329" t="str">
        <f t="array" ref="EE271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493" t="str">
        <f t="array" ref="EF271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30" t="str">
        <f>IFERROR(IF('BHPC MANAGER'!$EE271="","",INDEX(inventory[ESISTENZA],MATCH('BHPC MANAGER'!$EE271,inventory[SKU],0))),0)</f>
        <v/>
      </c>
      <c r="EH271" s="331"/>
      <c r="EI271" s="331" t="str">
        <f t="shared" si="17"/>
        <v/>
      </c>
      <c r="EJ271" s="332"/>
      <c r="EK271" s="333" t="str">
        <f t="shared" si="18"/>
        <v/>
      </c>
    </row>
    <row r="272" spans="135:141" x14ac:dyDescent="0.35">
      <c r="EE272" s="334" t="str">
        <f t="array" ref="EE272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494" t="str">
        <f t="array" ref="EF272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35" t="str">
        <f>IFERROR(IF('BHPC MANAGER'!$EE272="","",INDEX(inventory[ESISTENZA],MATCH('BHPC MANAGER'!$EE272,inventory[SKU],0))),0)</f>
        <v/>
      </c>
      <c r="EH272" s="336"/>
      <c r="EI272" s="336" t="str">
        <f t="shared" si="17"/>
        <v/>
      </c>
      <c r="EJ272" s="337"/>
      <c r="EK272" s="338" t="str">
        <f t="shared" si="18"/>
        <v/>
      </c>
    </row>
    <row r="273" spans="135:141" x14ac:dyDescent="0.35">
      <c r="EE273" s="329" t="str">
        <f t="array" ref="EE273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493" t="str">
        <f t="array" ref="EF273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30" t="str">
        <f>IFERROR(IF('BHPC MANAGER'!$EE273="","",INDEX(inventory[ESISTENZA],MATCH('BHPC MANAGER'!$EE273,inventory[SKU],0))),0)</f>
        <v/>
      </c>
      <c r="EH273" s="331"/>
      <c r="EI273" s="331" t="str">
        <f t="shared" si="17"/>
        <v/>
      </c>
      <c r="EJ273" s="332"/>
      <c r="EK273" s="333" t="str">
        <f t="shared" si="18"/>
        <v/>
      </c>
    </row>
    <row r="274" spans="135:141" x14ac:dyDescent="0.35">
      <c r="EE274" s="334" t="str">
        <f t="array" ref="EE274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494" t="str">
        <f t="array" ref="EF274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35" t="str">
        <f>IFERROR(IF('BHPC MANAGER'!$EE274="","",INDEX(inventory[ESISTENZA],MATCH('BHPC MANAGER'!$EE274,inventory[SKU],0))),0)</f>
        <v/>
      </c>
      <c r="EH274" s="336"/>
      <c r="EI274" s="336" t="str">
        <f t="shared" si="17"/>
        <v/>
      </c>
      <c r="EJ274" s="337"/>
      <c r="EK274" s="338" t="str">
        <f t="shared" si="18"/>
        <v/>
      </c>
    </row>
    <row r="275" spans="135:141" x14ac:dyDescent="0.35">
      <c r="EE275" s="329" t="str">
        <f t="array" ref="EE275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493" t="str">
        <f t="array" ref="EF275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30" t="str">
        <f>IFERROR(IF('BHPC MANAGER'!$EE275="","",INDEX(inventory[ESISTENZA],MATCH('BHPC MANAGER'!$EE275,inventory[SKU],0))),0)</f>
        <v/>
      </c>
      <c r="EH275" s="331"/>
      <c r="EI275" s="331" t="str">
        <f t="shared" si="17"/>
        <v/>
      </c>
      <c r="EJ275" s="332"/>
      <c r="EK275" s="333" t="str">
        <f t="shared" si="18"/>
        <v/>
      </c>
    </row>
    <row r="276" spans="135:141" x14ac:dyDescent="0.35">
      <c r="EE276" s="334" t="str">
        <f t="array" ref="EE276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494" t="str">
        <f t="array" ref="EF276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35" t="str">
        <f>IFERROR(IF('BHPC MANAGER'!$EE276="","",INDEX(inventory[ESISTENZA],MATCH('BHPC MANAGER'!$EE276,inventory[SKU],0))),0)</f>
        <v/>
      </c>
      <c r="EH276" s="336"/>
      <c r="EI276" s="336" t="str">
        <f t="shared" si="17"/>
        <v/>
      </c>
      <c r="EJ276" s="337"/>
      <c r="EK276" s="338" t="str">
        <f t="shared" si="18"/>
        <v/>
      </c>
    </row>
    <row r="277" spans="135:141" x14ac:dyDescent="0.35">
      <c r="EE277" s="329" t="str">
        <f t="array" ref="EE277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493" t="str">
        <f t="array" ref="EF277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30" t="str">
        <f>IFERROR(IF('BHPC MANAGER'!$EE277="","",INDEX(inventory[ESISTENZA],MATCH('BHPC MANAGER'!$EE277,inventory[SKU],0))),0)</f>
        <v/>
      </c>
      <c r="EH277" s="331"/>
      <c r="EI277" s="331" t="str">
        <f t="shared" si="17"/>
        <v/>
      </c>
      <c r="EJ277" s="332"/>
      <c r="EK277" s="333" t="str">
        <f t="shared" si="18"/>
        <v/>
      </c>
    </row>
    <row r="278" spans="135:141" x14ac:dyDescent="0.35">
      <c r="EE278" s="334" t="str">
        <f t="array" ref="EE278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494" t="str">
        <f t="array" ref="EF278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35" t="str">
        <f>IFERROR(IF('BHPC MANAGER'!$EE278="","",INDEX(inventory[ESISTENZA],MATCH('BHPC MANAGER'!$EE278,inventory[SKU],0))),0)</f>
        <v/>
      </c>
      <c r="EH278" s="336"/>
      <c r="EI278" s="336" t="str">
        <f t="shared" si="17"/>
        <v/>
      </c>
      <c r="EJ278" s="337"/>
      <c r="EK278" s="338" t="str">
        <f t="shared" si="18"/>
        <v/>
      </c>
    </row>
    <row r="279" spans="135:141" x14ac:dyDescent="0.35">
      <c r="EE279" s="329" t="str">
        <f t="array" ref="EE279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493" t="str">
        <f t="array" ref="EF279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30" t="str">
        <f>IFERROR(IF('BHPC MANAGER'!$EE279="","",INDEX(inventory[ESISTENZA],MATCH('BHPC MANAGER'!$EE279,inventory[SKU],0))),0)</f>
        <v/>
      </c>
      <c r="EH279" s="331"/>
      <c r="EI279" s="331" t="str">
        <f t="shared" si="17"/>
        <v/>
      </c>
      <c r="EJ279" s="332"/>
      <c r="EK279" s="333" t="str">
        <f t="shared" si="18"/>
        <v/>
      </c>
    </row>
    <row r="280" spans="135:141" x14ac:dyDescent="0.35">
      <c r="EE280" s="334" t="str">
        <f t="array" ref="EE280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494" t="str">
        <f t="array" ref="EF280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35" t="str">
        <f>IFERROR(IF('BHPC MANAGER'!$EE280="","",INDEX(inventory[ESISTENZA],MATCH('BHPC MANAGER'!$EE280,inventory[SKU],0))),0)</f>
        <v/>
      </c>
      <c r="EH280" s="336"/>
      <c r="EI280" s="336" t="str">
        <f t="shared" si="17"/>
        <v/>
      </c>
      <c r="EJ280" s="337"/>
      <c r="EK280" s="338" t="str">
        <f t="shared" si="18"/>
        <v/>
      </c>
    </row>
    <row r="281" spans="135:141" x14ac:dyDescent="0.35">
      <c r="EE281" s="329" t="str">
        <f t="array" ref="EE281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493" t="str">
        <f t="array" ref="EF281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30" t="str">
        <f>IFERROR(IF('BHPC MANAGER'!$EE281="","",INDEX(inventory[ESISTENZA],MATCH('BHPC MANAGER'!$EE281,inventory[SKU],0))),0)</f>
        <v/>
      </c>
      <c r="EH281" s="331"/>
      <c r="EI281" s="331" t="str">
        <f t="shared" si="17"/>
        <v/>
      </c>
      <c r="EJ281" s="332"/>
      <c r="EK281" s="333" t="str">
        <f t="shared" si="18"/>
        <v/>
      </c>
    </row>
    <row r="282" spans="135:141" x14ac:dyDescent="0.35">
      <c r="EE282" s="334" t="str">
        <f t="array" ref="EE282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494" t="str">
        <f t="array" ref="EF282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35" t="str">
        <f>IFERROR(IF('BHPC MANAGER'!$EE282="","",INDEX(inventory[ESISTENZA],MATCH('BHPC MANAGER'!$EE282,inventory[SKU],0))),0)</f>
        <v/>
      </c>
      <c r="EH282" s="336"/>
      <c r="EI282" s="336" t="str">
        <f t="shared" si="17"/>
        <v/>
      </c>
      <c r="EJ282" s="337"/>
      <c r="EK282" s="338" t="str">
        <f t="shared" si="18"/>
        <v/>
      </c>
    </row>
    <row r="283" spans="135:141" x14ac:dyDescent="0.35">
      <c r="EE283" s="329" t="str">
        <f t="array" ref="EE283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493" t="str">
        <f t="array" ref="EF283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30" t="str">
        <f>IFERROR(IF('BHPC MANAGER'!$EE283="","",INDEX(inventory[ESISTENZA],MATCH('BHPC MANAGER'!$EE283,inventory[SKU],0))),0)</f>
        <v/>
      </c>
      <c r="EH283" s="331"/>
      <c r="EI283" s="331" t="str">
        <f t="shared" si="17"/>
        <v/>
      </c>
      <c r="EJ283" s="332"/>
      <c r="EK283" s="333" t="str">
        <f t="shared" si="18"/>
        <v/>
      </c>
    </row>
    <row r="284" spans="135:141" x14ac:dyDescent="0.35">
      <c r="EE284" s="334" t="str">
        <f t="array" ref="EE284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494" t="str">
        <f t="array" ref="EF284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35" t="str">
        <f>IFERROR(IF('BHPC MANAGER'!$EE284="","",INDEX(inventory[ESISTENZA],MATCH('BHPC MANAGER'!$EE284,inventory[SKU],0))),0)</f>
        <v/>
      </c>
      <c r="EH284" s="336"/>
      <c r="EI284" s="336" t="str">
        <f t="shared" si="17"/>
        <v/>
      </c>
      <c r="EJ284" s="337"/>
      <c r="EK284" s="338" t="str">
        <f t="shared" si="18"/>
        <v/>
      </c>
    </row>
    <row r="285" spans="135:141" x14ac:dyDescent="0.35">
      <c r="EE285" s="329" t="str">
        <f t="array" ref="EE285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493" t="str">
        <f t="array" ref="EF285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30" t="str">
        <f>IFERROR(IF('BHPC MANAGER'!$EE285="","",INDEX(inventory[ESISTENZA],MATCH('BHPC MANAGER'!$EE285,inventory[SKU],0))),0)</f>
        <v/>
      </c>
      <c r="EH285" s="331"/>
      <c r="EI285" s="331" t="str">
        <f t="shared" si="17"/>
        <v/>
      </c>
      <c r="EJ285" s="332"/>
      <c r="EK285" s="333" t="str">
        <f t="shared" si="18"/>
        <v/>
      </c>
    </row>
    <row r="286" spans="135:141" x14ac:dyDescent="0.35">
      <c r="EE286" s="334" t="str">
        <f t="array" ref="EE286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494" t="str">
        <f t="array" ref="EF286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35" t="str">
        <f>IFERROR(IF('BHPC MANAGER'!$EE286="","",INDEX(inventory[ESISTENZA],MATCH('BHPC MANAGER'!$EE286,inventory[SKU],0))),0)</f>
        <v/>
      </c>
      <c r="EH286" s="336"/>
      <c r="EI286" s="336" t="str">
        <f t="shared" si="17"/>
        <v/>
      </c>
      <c r="EJ286" s="337"/>
      <c r="EK286" s="338" t="str">
        <f t="shared" si="18"/>
        <v/>
      </c>
    </row>
    <row r="287" spans="135:141" x14ac:dyDescent="0.35">
      <c r="EE287" s="329" t="str">
        <f t="array" ref="EE287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493" t="str">
        <f t="array" ref="EF287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30" t="str">
        <f>IFERROR(IF('BHPC MANAGER'!$EE287="","",INDEX(inventory[ESISTENZA],MATCH('BHPC MANAGER'!$EE287,inventory[SKU],0))),0)</f>
        <v/>
      </c>
      <c r="EH287" s="331"/>
      <c r="EI287" s="331" t="str">
        <f t="shared" si="17"/>
        <v/>
      </c>
      <c r="EJ287" s="332"/>
      <c r="EK287" s="333" t="str">
        <f t="shared" si="18"/>
        <v/>
      </c>
    </row>
    <row r="288" spans="135:141" x14ac:dyDescent="0.35">
      <c r="EE288" s="334" t="str">
        <f t="array" ref="EE288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494" t="str">
        <f t="array" ref="EF288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35" t="str">
        <f>IFERROR(IF('BHPC MANAGER'!$EE288="","",INDEX(inventory[ESISTENZA],MATCH('BHPC MANAGER'!$EE288,inventory[SKU],0))),0)</f>
        <v/>
      </c>
      <c r="EH288" s="336"/>
      <c r="EI288" s="336" t="str">
        <f t="shared" si="17"/>
        <v/>
      </c>
      <c r="EJ288" s="337"/>
      <c r="EK288" s="338" t="str">
        <f t="shared" si="18"/>
        <v/>
      </c>
    </row>
    <row r="289" spans="135:141" x14ac:dyDescent="0.35">
      <c r="EE289" s="329" t="str">
        <f t="array" ref="EE289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493" t="str">
        <f t="array" ref="EF289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30" t="str">
        <f>IFERROR(IF('BHPC MANAGER'!$EE289="","",INDEX(inventory[ESISTENZA],MATCH('BHPC MANAGER'!$EE289,inventory[SKU],0))),0)</f>
        <v/>
      </c>
      <c r="EH289" s="331"/>
      <c r="EI289" s="331" t="str">
        <f t="shared" si="17"/>
        <v/>
      </c>
      <c r="EJ289" s="332"/>
      <c r="EK289" s="333" t="str">
        <f t="shared" si="18"/>
        <v/>
      </c>
    </row>
    <row r="290" spans="135:141" x14ac:dyDescent="0.35">
      <c r="EE290" s="334" t="str">
        <f t="array" ref="EE290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494" t="str">
        <f t="array" ref="EF290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35" t="str">
        <f>IFERROR(IF('BHPC MANAGER'!$EE290="","",INDEX(inventory[ESISTENZA],MATCH('BHPC MANAGER'!$EE290,inventory[SKU],0))),0)</f>
        <v/>
      </c>
      <c r="EH290" s="336"/>
      <c r="EI290" s="336" t="str">
        <f t="shared" si="17"/>
        <v/>
      </c>
      <c r="EJ290" s="337"/>
      <c r="EK290" s="338" t="str">
        <f t="shared" si="18"/>
        <v/>
      </c>
    </row>
    <row r="291" spans="135:141" x14ac:dyDescent="0.35">
      <c r="EE291" s="329" t="str">
        <f t="array" ref="EE291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493" t="str">
        <f t="array" ref="EF291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30" t="str">
        <f>IFERROR(IF('BHPC MANAGER'!$EE291="","",INDEX(inventory[ESISTENZA],MATCH('BHPC MANAGER'!$EE291,inventory[SKU],0))),0)</f>
        <v/>
      </c>
      <c r="EH291" s="331"/>
      <c r="EI291" s="331" t="str">
        <f t="shared" si="17"/>
        <v/>
      </c>
      <c r="EJ291" s="332"/>
      <c r="EK291" s="333" t="str">
        <f t="shared" si="18"/>
        <v/>
      </c>
    </row>
    <row r="292" spans="135:141" x14ac:dyDescent="0.35">
      <c r="EE292" s="334" t="str">
        <f t="array" ref="EE292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494" t="str">
        <f t="array" ref="EF292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35" t="str">
        <f>IFERROR(IF('BHPC MANAGER'!$EE292="","",INDEX(inventory[ESISTENZA],MATCH('BHPC MANAGER'!$EE292,inventory[SKU],0))),0)</f>
        <v/>
      </c>
      <c r="EH292" s="336"/>
      <c r="EI292" s="336" t="str">
        <f t="shared" si="17"/>
        <v/>
      </c>
      <c r="EJ292" s="337"/>
      <c r="EK292" s="338" t="str">
        <f t="shared" si="18"/>
        <v/>
      </c>
    </row>
    <row r="293" spans="135:141" x14ac:dyDescent="0.35">
      <c r="EE293" s="329" t="str">
        <f t="array" ref="EE293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493" t="str">
        <f t="array" ref="EF293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30" t="str">
        <f>IFERROR(IF('BHPC MANAGER'!$EE293="","",INDEX(inventory[ESISTENZA],MATCH('BHPC MANAGER'!$EE293,inventory[SKU],0))),0)</f>
        <v/>
      </c>
      <c r="EH293" s="331"/>
      <c r="EI293" s="331" t="str">
        <f t="shared" si="17"/>
        <v/>
      </c>
      <c r="EJ293" s="332"/>
      <c r="EK293" s="333" t="str">
        <f t="shared" si="18"/>
        <v/>
      </c>
    </row>
    <row r="294" spans="135:141" x14ac:dyDescent="0.35">
      <c r="EE294" s="334" t="str">
        <f t="array" ref="EE294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494" t="str">
        <f t="array" ref="EF294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35" t="str">
        <f>IFERROR(IF('BHPC MANAGER'!$EE294="","",INDEX(inventory[ESISTENZA],MATCH('BHPC MANAGER'!$EE294,inventory[SKU],0))),0)</f>
        <v/>
      </c>
      <c r="EH294" s="336"/>
      <c r="EI294" s="336" t="str">
        <f t="shared" si="17"/>
        <v/>
      </c>
      <c r="EJ294" s="337"/>
      <c r="EK294" s="338" t="str">
        <f t="shared" si="18"/>
        <v/>
      </c>
    </row>
    <row r="295" spans="135:141" x14ac:dyDescent="0.35">
      <c r="EE295" s="329" t="str">
        <f t="array" ref="EE295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493" t="str">
        <f t="array" ref="EF295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30" t="str">
        <f>IFERROR(IF('BHPC MANAGER'!$EE295="","",INDEX(inventory[ESISTENZA],MATCH('BHPC MANAGER'!$EE295,inventory[SKU],0))),0)</f>
        <v/>
      </c>
      <c r="EH295" s="331"/>
      <c r="EI295" s="331" t="str">
        <f t="shared" si="17"/>
        <v/>
      </c>
      <c r="EJ295" s="332"/>
      <c r="EK295" s="333" t="str">
        <f t="shared" si="18"/>
        <v/>
      </c>
    </row>
    <row r="296" spans="135:141" x14ac:dyDescent="0.35">
      <c r="EE296" s="334" t="str">
        <f t="array" ref="EE296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494" t="str">
        <f t="array" ref="EF296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35" t="str">
        <f>IFERROR(IF('BHPC MANAGER'!$EE296="","",INDEX(inventory[ESISTENZA],MATCH('BHPC MANAGER'!$EE296,inventory[SKU],0))),0)</f>
        <v/>
      </c>
      <c r="EH296" s="336"/>
      <c r="EI296" s="336" t="str">
        <f t="shared" si="17"/>
        <v/>
      </c>
      <c r="EJ296" s="337"/>
      <c r="EK296" s="338" t="str">
        <f t="shared" si="18"/>
        <v/>
      </c>
    </row>
    <row r="297" spans="135:141" x14ac:dyDescent="0.35">
      <c r="EE297" s="329" t="str">
        <f t="array" ref="EE297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493" t="str">
        <f t="array" ref="EF297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30" t="str">
        <f>IFERROR(IF('BHPC MANAGER'!$EE297="","",INDEX(inventory[ESISTENZA],MATCH('BHPC MANAGER'!$EE297,inventory[SKU],0))),0)</f>
        <v/>
      </c>
      <c r="EH297" s="331"/>
      <c r="EI297" s="331" t="str">
        <f t="shared" si="17"/>
        <v/>
      </c>
      <c r="EJ297" s="332"/>
      <c r="EK297" s="333" t="str">
        <f t="shared" si="18"/>
        <v/>
      </c>
    </row>
    <row r="298" spans="135:141" x14ac:dyDescent="0.35">
      <c r="EE298" s="334" t="str">
        <f t="array" ref="EE298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494" t="str">
        <f t="array" ref="EF298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35" t="str">
        <f>IFERROR(IF('BHPC MANAGER'!$EE298="","",INDEX(inventory[ESISTENZA],MATCH('BHPC MANAGER'!$EE298,inventory[SKU],0))),0)</f>
        <v/>
      </c>
      <c r="EH298" s="336"/>
      <c r="EI298" s="336" t="str">
        <f t="shared" si="17"/>
        <v/>
      </c>
      <c r="EJ298" s="337"/>
      <c r="EK298" s="338" t="str">
        <f t="shared" si="18"/>
        <v/>
      </c>
    </row>
    <row r="299" spans="135:141" x14ac:dyDescent="0.35">
      <c r="EE299" s="329" t="str">
        <f t="array" ref="EE299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493" t="str">
        <f t="array" ref="EF299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30" t="str">
        <f>IFERROR(IF('BHPC MANAGER'!$EE299="","",INDEX(inventory[ESISTENZA],MATCH('BHPC MANAGER'!$EE299,inventory[SKU],0))),0)</f>
        <v/>
      </c>
      <c r="EH299" s="331"/>
      <c r="EI299" s="331" t="str">
        <f t="shared" si="17"/>
        <v/>
      </c>
      <c r="EJ299" s="332"/>
      <c r="EK299" s="333" t="str">
        <f t="shared" si="18"/>
        <v/>
      </c>
    </row>
    <row r="300" spans="135:141" x14ac:dyDescent="0.35">
      <c r="EE300" s="334" t="str">
        <f t="array" ref="EE300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494" t="str">
        <f t="array" ref="EF300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35" t="str">
        <f>IFERROR(IF('BHPC MANAGER'!$EE300="","",INDEX(inventory[ESISTENZA],MATCH('BHPC MANAGER'!$EE300,inventory[SKU],0))),0)</f>
        <v/>
      </c>
      <c r="EH300" s="336"/>
      <c r="EI300" s="336" t="str">
        <f t="shared" si="17"/>
        <v/>
      </c>
      <c r="EJ300" s="337"/>
      <c r="EK300" s="338" t="str">
        <f t="shared" si="18"/>
        <v/>
      </c>
    </row>
    <row r="301" spans="135:141" x14ac:dyDescent="0.35">
      <c r="EE301" s="329" t="str">
        <f t="array" ref="EE301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493" t="str">
        <f t="array" ref="EF301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30" t="str">
        <f>IFERROR(IF('BHPC MANAGER'!$EE301="","",INDEX(inventory[ESISTENZA],MATCH('BHPC MANAGER'!$EE301,inventory[SKU],0))),0)</f>
        <v/>
      </c>
      <c r="EH301" s="331"/>
      <c r="EI301" s="331" t="str">
        <f t="shared" si="17"/>
        <v/>
      </c>
      <c r="EJ301" s="332"/>
      <c r="EK301" s="333" t="str">
        <f t="shared" si="18"/>
        <v/>
      </c>
    </row>
    <row r="302" spans="135:141" x14ac:dyDescent="0.35">
      <c r="EE302" s="334" t="str">
        <f t="array" ref="EE302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494" t="str">
        <f t="array" ref="EF302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35" t="str">
        <f>IFERROR(IF('BHPC MANAGER'!$EE302="","",INDEX(inventory[ESISTENZA],MATCH('BHPC MANAGER'!$EE302,inventory[SKU],0))),0)</f>
        <v/>
      </c>
      <c r="EH302" s="336"/>
      <c r="EI302" s="336" t="str">
        <f t="shared" si="17"/>
        <v/>
      </c>
      <c r="EJ302" s="337"/>
      <c r="EK302" s="338" t="str">
        <f t="shared" si="18"/>
        <v/>
      </c>
    </row>
    <row r="303" spans="135:141" x14ac:dyDescent="0.35">
      <c r="EE303" s="329" t="str">
        <f t="array" ref="EE303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493" t="str">
        <f t="array" ref="EF303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30" t="str">
        <f>IFERROR(IF('BHPC MANAGER'!$EE303="","",INDEX(inventory[ESISTENZA],MATCH('BHPC MANAGER'!$EE303,inventory[SKU],0))),0)</f>
        <v/>
      </c>
      <c r="EH303" s="331"/>
      <c r="EI303" s="331" t="str">
        <f t="shared" si="17"/>
        <v/>
      </c>
      <c r="EJ303" s="332"/>
      <c r="EK303" s="333" t="str">
        <f t="shared" si="18"/>
        <v/>
      </c>
    </row>
    <row r="304" spans="135:141" x14ac:dyDescent="0.35">
      <c r="EE304" s="334" t="str">
        <f t="array" ref="EE304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494" t="str">
        <f t="array" ref="EF304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35" t="str">
        <f>IFERROR(IF('BHPC MANAGER'!$EE304="","",INDEX(inventory[ESISTENZA],MATCH('BHPC MANAGER'!$EE304,inventory[SKU],0))),0)</f>
        <v/>
      </c>
      <c r="EH304" s="336"/>
      <c r="EI304" s="336" t="str">
        <f t="shared" si="17"/>
        <v/>
      </c>
      <c r="EJ304" s="337"/>
      <c r="EK304" s="338" t="str">
        <f t="shared" si="18"/>
        <v/>
      </c>
    </row>
    <row r="305" spans="135:141" x14ac:dyDescent="0.35">
      <c r="EE305" s="329" t="str">
        <f t="array" ref="EE305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493" t="str">
        <f t="array" ref="EF305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30" t="str">
        <f>IFERROR(IF('BHPC MANAGER'!$EE305="","",INDEX(inventory[ESISTENZA],MATCH('BHPC MANAGER'!$EE305,inventory[SKU],0))),0)</f>
        <v/>
      </c>
      <c r="EH305" s="331"/>
      <c r="EI305" s="331" t="str">
        <f t="shared" si="17"/>
        <v/>
      </c>
      <c r="EJ305" s="332"/>
      <c r="EK305" s="333" t="str">
        <f t="shared" si="18"/>
        <v/>
      </c>
    </row>
    <row r="306" spans="135:141" x14ac:dyDescent="0.35">
      <c r="EE306" s="334" t="str">
        <f t="array" ref="EE306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494" t="str">
        <f t="array" ref="EF306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35" t="str">
        <f>IFERROR(IF('BHPC MANAGER'!$EE306="","",INDEX(inventory[ESISTENZA],MATCH('BHPC MANAGER'!$EE306,inventory[SKU],0))),0)</f>
        <v/>
      </c>
      <c r="EH306" s="336"/>
      <c r="EI306" s="336" t="str">
        <f t="shared" si="17"/>
        <v/>
      </c>
      <c r="EJ306" s="337"/>
      <c r="EK306" s="338" t="str">
        <f t="shared" si="18"/>
        <v/>
      </c>
    </row>
    <row r="307" spans="135:141" x14ac:dyDescent="0.35">
      <c r="EE307" s="329" t="str">
        <f t="array" ref="EE307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493" t="str">
        <f t="array" ref="EF307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30" t="str">
        <f>IFERROR(IF('BHPC MANAGER'!$EE307="","",INDEX(inventory[ESISTENZA],MATCH('BHPC MANAGER'!$EE307,inventory[SKU],0))),0)</f>
        <v/>
      </c>
      <c r="EH307" s="331"/>
      <c r="EI307" s="331" t="str">
        <f t="shared" si="17"/>
        <v/>
      </c>
      <c r="EJ307" s="332"/>
      <c r="EK307" s="333" t="str">
        <f t="shared" si="18"/>
        <v/>
      </c>
    </row>
    <row r="308" spans="135:141" x14ac:dyDescent="0.35">
      <c r="EE308" s="334" t="str">
        <f t="array" ref="EE308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494" t="str">
        <f t="array" ref="EF308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35" t="str">
        <f>IFERROR(IF('BHPC MANAGER'!$EE308="","",INDEX(inventory[ESISTENZA],MATCH('BHPC MANAGER'!$EE308,inventory[SKU],0))),0)</f>
        <v/>
      </c>
      <c r="EH308" s="336"/>
      <c r="EI308" s="336" t="str">
        <f t="shared" si="17"/>
        <v/>
      </c>
      <c r="EJ308" s="337"/>
      <c r="EK308" s="338" t="str">
        <f t="shared" si="18"/>
        <v/>
      </c>
    </row>
    <row r="309" spans="135:141" x14ac:dyDescent="0.35">
      <c r="EE309" s="329" t="str">
        <f t="array" ref="EE309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493" t="str">
        <f t="array" ref="EF309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30" t="str">
        <f>IFERROR(IF('BHPC MANAGER'!$EE309="","",INDEX(inventory[ESISTENZA],MATCH('BHPC MANAGER'!$EE309,inventory[SKU],0))),0)</f>
        <v/>
      </c>
      <c r="EH309" s="331"/>
      <c r="EI309" s="331" t="str">
        <f t="shared" si="17"/>
        <v/>
      </c>
      <c r="EJ309" s="332"/>
      <c r="EK309" s="333" t="str">
        <f t="shared" si="18"/>
        <v/>
      </c>
    </row>
    <row r="310" spans="135:141" x14ac:dyDescent="0.35">
      <c r="EE310" s="334" t="str">
        <f t="array" ref="EE310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494" t="str">
        <f t="array" ref="EF310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35" t="str">
        <f>IFERROR(IF('BHPC MANAGER'!$EE310="","",INDEX(inventory[ESISTENZA],MATCH('BHPC MANAGER'!$EE310,inventory[SKU],0))),0)</f>
        <v/>
      </c>
      <c r="EH310" s="336"/>
      <c r="EI310" s="336" t="str">
        <f t="shared" si="17"/>
        <v/>
      </c>
      <c r="EJ310" s="337"/>
      <c r="EK310" s="338" t="str">
        <f t="shared" si="18"/>
        <v/>
      </c>
    </row>
    <row r="311" spans="135:141" x14ac:dyDescent="0.35">
      <c r="EE311" s="329" t="str">
        <f t="array" ref="EE311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493" t="str">
        <f t="array" ref="EF311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30" t="str">
        <f>IFERROR(IF('BHPC MANAGER'!$EE311="","",INDEX(inventory[ESISTENZA],MATCH('BHPC MANAGER'!$EE311,inventory[SKU],0))),0)</f>
        <v/>
      </c>
      <c r="EH311" s="331"/>
      <c r="EI311" s="331" t="str">
        <f t="shared" si="17"/>
        <v/>
      </c>
      <c r="EJ311" s="332"/>
      <c r="EK311" s="333" t="str">
        <f t="shared" si="18"/>
        <v/>
      </c>
    </row>
    <row r="312" spans="135:141" x14ac:dyDescent="0.35">
      <c r="EE312" s="334" t="str">
        <f t="array" ref="EE312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494" t="str">
        <f t="array" ref="EF312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35" t="str">
        <f>IFERROR(IF('BHPC MANAGER'!$EE312="","",INDEX(inventory[ESISTENZA],MATCH('BHPC MANAGER'!$EE312,inventory[SKU],0))),0)</f>
        <v/>
      </c>
      <c r="EH312" s="336"/>
      <c r="EI312" s="336" t="str">
        <f t="shared" si="17"/>
        <v/>
      </c>
      <c r="EJ312" s="337"/>
      <c r="EK312" s="338" t="str">
        <f t="shared" si="18"/>
        <v/>
      </c>
    </row>
    <row r="313" spans="135:141" x14ac:dyDescent="0.35">
      <c r="EE313" s="329" t="str">
        <f t="array" ref="EE313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493" t="str">
        <f t="array" ref="EF313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30" t="str">
        <f>IFERROR(IF('BHPC MANAGER'!$EE313="","",INDEX(inventory[ESISTENZA],MATCH('BHPC MANAGER'!$EE313,inventory[SKU],0))),0)</f>
        <v/>
      </c>
      <c r="EH313" s="331"/>
      <c r="EI313" s="331" t="str">
        <f t="shared" si="17"/>
        <v/>
      </c>
      <c r="EJ313" s="332"/>
      <c r="EK313" s="333" t="str">
        <f t="shared" si="18"/>
        <v/>
      </c>
    </row>
    <row r="314" spans="135:141" x14ac:dyDescent="0.35">
      <c r="EE314" s="334" t="str">
        <f t="array" ref="EE314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494" t="str">
        <f t="array" ref="EF314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35" t="str">
        <f>IFERROR(IF('BHPC MANAGER'!$EE314="","",INDEX(inventory[ESISTENZA],MATCH('BHPC MANAGER'!$EE314,inventory[SKU],0))),0)</f>
        <v/>
      </c>
      <c r="EH314" s="336"/>
      <c r="EI314" s="336" t="str">
        <f t="shared" si="17"/>
        <v/>
      </c>
      <c r="EJ314" s="337"/>
      <c r="EK314" s="338" t="str">
        <f t="shared" si="18"/>
        <v/>
      </c>
    </row>
    <row r="315" spans="135:141" x14ac:dyDescent="0.35">
      <c r="EE315" s="329" t="str">
        <f t="array" ref="EE315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493" t="str">
        <f t="array" ref="EF315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30" t="str">
        <f>IFERROR(IF('BHPC MANAGER'!$EE315="","",INDEX(inventory[ESISTENZA],MATCH('BHPC MANAGER'!$EE315,inventory[SKU],0))),0)</f>
        <v/>
      </c>
      <c r="EH315" s="331"/>
      <c r="EI315" s="331" t="str">
        <f t="shared" si="17"/>
        <v/>
      </c>
      <c r="EJ315" s="332"/>
      <c r="EK315" s="333" t="str">
        <f t="shared" si="18"/>
        <v/>
      </c>
    </row>
    <row r="316" spans="135:141" x14ac:dyDescent="0.35">
      <c r="EE316" s="334" t="str">
        <f t="array" ref="EE316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494" t="str">
        <f t="array" ref="EF316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35" t="str">
        <f>IFERROR(IF('BHPC MANAGER'!$EE316="","",INDEX(inventory[ESISTENZA],MATCH('BHPC MANAGER'!$EE316,inventory[SKU],0))),0)</f>
        <v/>
      </c>
      <c r="EH316" s="336"/>
      <c r="EI316" s="336" t="str">
        <f t="shared" si="17"/>
        <v/>
      </c>
      <c r="EJ316" s="337"/>
      <c r="EK316" s="338" t="str">
        <f t="shared" si="18"/>
        <v/>
      </c>
    </row>
    <row r="317" spans="135:141" x14ac:dyDescent="0.35">
      <c r="EE317" s="329" t="str">
        <f t="array" ref="EE317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493" t="str">
        <f t="array" ref="EF317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30" t="str">
        <f>IFERROR(IF('BHPC MANAGER'!$EE317="","",INDEX(inventory[ESISTENZA],MATCH('BHPC MANAGER'!$EE317,inventory[SKU],0))),0)</f>
        <v/>
      </c>
      <c r="EH317" s="331"/>
      <c r="EI317" s="331" t="str">
        <f t="shared" si="17"/>
        <v/>
      </c>
      <c r="EJ317" s="332"/>
      <c r="EK317" s="333" t="str">
        <f t="shared" si="18"/>
        <v/>
      </c>
    </row>
    <row r="318" spans="135:141" x14ac:dyDescent="0.35">
      <c r="EE318" s="334" t="str">
        <f t="array" ref="EE318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494" t="str">
        <f t="array" ref="EF318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35" t="str">
        <f>IFERROR(IF('BHPC MANAGER'!$EE318="","",INDEX(inventory[ESISTENZA],MATCH('BHPC MANAGER'!$EE318,inventory[SKU],0))),0)</f>
        <v/>
      </c>
      <c r="EH318" s="336"/>
      <c r="EI318" s="336" t="str">
        <f t="shared" si="17"/>
        <v/>
      </c>
      <c r="EJ318" s="337"/>
      <c r="EK318" s="338" t="str">
        <f t="shared" si="18"/>
        <v/>
      </c>
    </row>
    <row r="319" spans="135:141" x14ac:dyDescent="0.35">
      <c r="EE319" s="329" t="str">
        <f t="array" ref="EE319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493" t="str">
        <f t="array" ref="EF319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30" t="str">
        <f>IFERROR(IF('BHPC MANAGER'!$EE319="","",INDEX(inventory[ESISTENZA],MATCH('BHPC MANAGER'!$EE319,inventory[SKU],0))),0)</f>
        <v/>
      </c>
      <c r="EH319" s="331"/>
      <c r="EI319" s="331" t="str">
        <f t="shared" si="17"/>
        <v/>
      </c>
      <c r="EJ319" s="332"/>
      <c r="EK319" s="333" t="str">
        <f t="shared" si="18"/>
        <v/>
      </c>
    </row>
    <row r="320" spans="135:141" x14ac:dyDescent="0.35">
      <c r="EE320" s="334" t="str">
        <f t="array" ref="EE320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494" t="str">
        <f t="array" ref="EF320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35" t="str">
        <f>IFERROR(IF('BHPC MANAGER'!$EE320="","",INDEX(inventory[ESISTENZA],MATCH('BHPC MANAGER'!$EE320,inventory[SKU],0))),0)</f>
        <v/>
      </c>
      <c r="EH320" s="336"/>
      <c r="EI320" s="336" t="str">
        <f t="shared" si="17"/>
        <v/>
      </c>
      <c r="EJ320" s="337"/>
      <c r="EK320" s="338" t="str">
        <f t="shared" si="18"/>
        <v/>
      </c>
    </row>
    <row r="321" spans="135:141" x14ac:dyDescent="0.35">
      <c r="EE321" s="329" t="str">
        <f t="array" ref="EE321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493" t="str">
        <f t="array" ref="EF321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30" t="str">
        <f>IFERROR(IF('BHPC MANAGER'!$EE321="","",INDEX(inventory[ESISTENZA],MATCH('BHPC MANAGER'!$EE321,inventory[SKU],0))),0)</f>
        <v/>
      </c>
      <c r="EH321" s="331"/>
      <c r="EI321" s="331" t="str">
        <f t="shared" si="17"/>
        <v/>
      </c>
      <c r="EJ321" s="332"/>
      <c r="EK321" s="333" t="str">
        <f t="shared" si="18"/>
        <v/>
      </c>
    </row>
    <row r="322" spans="135:141" x14ac:dyDescent="0.35">
      <c r="EE322" s="334" t="str">
        <f t="array" ref="EE322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494" t="str">
        <f t="array" ref="EF322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35" t="str">
        <f>IFERROR(IF('BHPC MANAGER'!$EE322="","",INDEX(inventory[ESISTENZA],MATCH('BHPC MANAGER'!$EE322,inventory[SKU],0))),0)</f>
        <v/>
      </c>
      <c r="EH322" s="336"/>
      <c r="EI322" s="336" t="str">
        <f t="shared" si="17"/>
        <v/>
      </c>
      <c r="EJ322" s="337"/>
      <c r="EK322" s="338" t="str">
        <f t="shared" si="18"/>
        <v/>
      </c>
    </row>
    <row r="323" spans="135:141" x14ac:dyDescent="0.35">
      <c r="EE323" s="329" t="str">
        <f t="array" ref="EE323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493" t="str">
        <f t="array" ref="EF323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30" t="str">
        <f>IFERROR(IF('BHPC MANAGER'!$EE323="","",INDEX(inventory[ESISTENZA],MATCH('BHPC MANAGER'!$EE323,inventory[SKU],0))),0)</f>
        <v/>
      </c>
      <c r="EH323" s="331"/>
      <c r="EI323" s="331" t="str">
        <f t="shared" si="17"/>
        <v/>
      </c>
      <c r="EJ323" s="332"/>
      <c r="EK323" s="333" t="str">
        <f t="shared" si="18"/>
        <v/>
      </c>
    </row>
    <row r="324" spans="135:141" x14ac:dyDescent="0.35">
      <c r="EE324" s="334" t="str">
        <f t="array" ref="EE324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494" t="str">
        <f t="array" ref="EF324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35" t="str">
        <f>IFERROR(IF('BHPC MANAGER'!$EE324="","",INDEX(inventory[ESISTENZA],MATCH('BHPC MANAGER'!$EE324,inventory[SKU],0))),0)</f>
        <v/>
      </c>
      <c r="EH324" s="336"/>
      <c r="EI324" s="336" t="str">
        <f t="shared" si="17"/>
        <v/>
      </c>
      <c r="EJ324" s="337"/>
      <c r="EK324" s="338" t="str">
        <f t="shared" si="18"/>
        <v/>
      </c>
    </row>
    <row r="325" spans="135:141" x14ac:dyDescent="0.35">
      <c r="EE325" s="329" t="str">
        <f t="array" ref="EE325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493" t="str">
        <f t="array" ref="EF325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30" t="str">
        <f>IFERROR(IF('BHPC MANAGER'!$EE325="","",INDEX(inventory[ESISTENZA],MATCH('BHPC MANAGER'!$EE325,inventory[SKU],0))),0)</f>
        <v/>
      </c>
      <c r="EH325" s="331"/>
      <c r="EI325" s="331" t="str">
        <f t="shared" si="17"/>
        <v/>
      </c>
      <c r="EJ325" s="332"/>
      <c r="EK325" s="333" t="str">
        <f t="shared" si="18"/>
        <v/>
      </c>
    </row>
    <row r="326" spans="135:141" x14ac:dyDescent="0.35">
      <c r="EE326" s="334" t="str">
        <f t="array" ref="EE326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494" t="str">
        <f t="array" ref="EF326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35" t="str">
        <f>IFERROR(IF('BHPC MANAGER'!$EE326="","",INDEX(inventory[ESISTENZA],MATCH('BHPC MANAGER'!$EE326,inventory[SKU],0))),0)</f>
        <v/>
      </c>
      <c r="EH326" s="336"/>
      <c r="EI326" s="336" t="str">
        <f t="shared" si="17"/>
        <v/>
      </c>
      <c r="EJ326" s="337"/>
      <c r="EK326" s="338" t="str">
        <f t="shared" si="18"/>
        <v/>
      </c>
    </row>
    <row r="327" spans="135:141" x14ac:dyDescent="0.35">
      <c r="EE327" s="329" t="str">
        <f t="array" ref="EE327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493" t="str">
        <f t="array" ref="EF327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30" t="str">
        <f>IFERROR(IF('BHPC MANAGER'!$EE327="","",INDEX(inventory[ESISTENZA],MATCH('BHPC MANAGER'!$EE327,inventory[SKU],0))),0)</f>
        <v/>
      </c>
      <c r="EH327" s="331"/>
      <c r="EI327" s="331" t="str">
        <f t="shared" si="17"/>
        <v/>
      </c>
      <c r="EJ327" s="332"/>
      <c r="EK327" s="333" t="str">
        <f t="shared" si="18"/>
        <v/>
      </c>
    </row>
    <row r="328" spans="135:141" x14ac:dyDescent="0.35">
      <c r="EE328" s="334" t="str">
        <f t="array" ref="EE328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494" t="str">
        <f t="array" ref="EF328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35" t="str">
        <f>IFERROR(IF('BHPC MANAGER'!$EE328="","",INDEX(inventory[ESISTENZA],MATCH('BHPC MANAGER'!$EE328,inventory[SKU],0))),0)</f>
        <v/>
      </c>
      <c r="EH328" s="336"/>
      <c r="EI328" s="336" t="str">
        <f t="shared" si="17"/>
        <v/>
      </c>
      <c r="EJ328" s="337"/>
      <c r="EK328" s="338" t="str">
        <f t="shared" si="18"/>
        <v/>
      </c>
    </row>
    <row r="329" spans="135:141" x14ac:dyDescent="0.35">
      <c r="EE329" s="329" t="str">
        <f t="array" ref="EE329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493" t="str">
        <f t="array" ref="EF329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30" t="str">
        <f>IFERROR(IF('BHPC MANAGER'!$EE329="","",INDEX(inventory[ESISTENZA],MATCH('BHPC MANAGER'!$EE329,inventory[SKU],0))),0)</f>
        <v/>
      </c>
      <c r="EH329" s="331"/>
      <c r="EI329" s="331" t="str">
        <f t="shared" ref="EI329:EI392" si="19">IF(EE329="","",IFERROR(EG329+EH329,EG329))</f>
        <v/>
      </c>
      <c r="EJ329" s="332"/>
      <c r="EK329" s="333" t="str">
        <f t="shared" ref="EK329:EK392" si="20">IF(EE329="","",IFERROR(EI329+EJ329,EI329))</f>
        <v/>
      </c>
    </row>
    <row r="330" spans="135:141" x14ac:dyDescent="0.35">
      <c r="EE330" s="334" t="str">
        <f t="array" ref="EE330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494" t="str">
        <f t="array" ref="EF330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35" t="str">
        <f>IFERROR(IF('BHPC MANAGER'!$EE330="","",INDEX(inventory[ESISTENZA],MATCH('BHPC MANAGER'!$EE330,inventory[SKU],0))),0)</f>
        <v/>
      </c>
      <c r="EH330" s="336"/>
      <c r="EI330" s="336" t="str">
        <f t="shared" si="19"/>
        <v/>
      </c>
      <c r="EJ330" s="337"/>
      <c r="EK330" s="338" t="str">
        <f t="shared" si="20"/>
        <v/>
      </c>
    </row>
    <row r="331" spans="135:141" x14ac:dyDescent="0.35">
      <c r="EE331" s="329" t="str">
        <f t="array" ref="EE331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493" t="str">
        <f t="array" ref="EF331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30" t="str">
        <f>IFERROR(IF('BHPC MANAGER'!$EE331="","",INDEX(inventory[ESISTENZA],MATCH('BHPC MANAGER'!$EE331,inventory[SKU],0))),0)</f>
        <v/>
      </c>
      <c r="EH331" s="331"/>
      <c r="EI331" s="331" t="str">
        <f t="shared" si="19"/>
        <v/>
      </c>
      <c r="EJ331" s="332"/>
      <c r="EK331" s="333" t="str">
        <f t="shared" si="20"/>
        <v/>
      </c>
    </row>
    <row r="332" spans="135:141" x14ac:dyDescent="0.35">
      <c r="EE332" s="334" t="str">
        <f t="array" ref="EE332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494" t="str">
        <f t="array" ref="EF332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35" t="str">
        <f>IFERROR(IF('BHPC MANAGER'!$EE332="","",INDEX(inventory[ESISTENZA],MATCH('BHPC MANAGER'!$EE332,inventory[SKU],0))),0)</f>
        <v/>
      </c>
      <c r="EH332" s="336"/>
      <c r="EI332" s="336" t="str">
        <f t="shared" si="19"/>
        <v/>
      </c>
      <c r="EJ332" s="337"/>
      <c r="EK332" s="338" t="str">
        <f t="shared" si="20"/>
        <v/>
      </c>
    </row>
    <row r="333" spans="135:141" x14ac:dyDescent="0.35">
      <c r="EE333" s="329" t="str">
        <f t="array" ref="EE333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493" t="str">
        <f t="array" ref="EF333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30" t="str">
        <f>IFERROR(IF('BHPC MANAGER'!$EE333="","",INDEX(inventory[ESISTENZA],MATCH('BHPC MANAGER'!$EE333,inventory[SKU],0))),0)</f>
        <v/>
      </c>
      <c r="EH333" s="331"/>
      <c r="EI333" s="331" t="str">
        <f t="shared" si="19"/>
        <v/>
      </c>
      <c r="EJ333" s="332"/>
      <c r="EK333" s="333" t="str">
        <f t="shared" si="20"/>
        <v/>
      </c>
    </row>
    <row r="334" spans="135:141" x14ac:dyDescent="0.35">
      <c r="EE334" s="334" t="str">
        <f t="array" ref="EE334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494" t="str">
        <f t="array" ref="EF334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35" t="str">
        <f>IFERROR(IF('BHPC MANAGER'!$EE334="","",INDEX(inventory[ESISTENZA],MATCH('BHPC MANAGER'!$EE334,inventory[SKU],0))),0)</f>
        <v/>
      </c>
      <c r="EH334" s="336"/>
      <c r="EI334" s="336" t="str">
        <f t="shared" si="19"/>
        <v/>
      </c>
      <c r="EJ334" s="337"/>
      <c r="EK334" s="338" t="str">
        <f t="shared" si="20"/>
        <v/>
      </c>
    </row>
    <row r="335" spans="135:141" x14ac:dyDescent="0.35">
      <c r="EE335" s="329" t="str">
        <f t="array" ref="EE335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493" t="str">
        <f t="array" ref="EF335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30" t="str">
        <f>IFERROR(IF('BHPC MANAGER'!$EE335="","",INDEX(inventory[ESISTENZA],MATCH('BHPC MANAGER'!$EE335,inventory[SKU],0))),0)</f>
        <v/>
      </c>
      <c r="EH335" s="331"/>
      <c r="EI335" s="331" t="str">
        <f t="shared" si="19"/>
        <v/>
      </c>
      <c r="EJ335" s="332"/>
      <c r="EK335" s="333" t="str">
        <f t="shared" si="20"/>
        <v/>
      </c>
    </row>
    <row r="336" spans="135:141" x14ac:dyDescent="0.35">
      <c r="EE336" s="334" t="str">
        <f t="array" ref="EE336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494" t="str">
        <f t="array" ref="EF336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35" t="str">
        <f>IFERROR(IF('BHPC MANAGER'!$EE336="","",INDEX(inventory[ESISTENZA],MATCH('BHPC MANAGER'!$EE336,inventory[SKU],0))),0)</f>
        <v/>
      </c>
      <c r="EH336" s="336"/>
      <c r="EI336" s="336" t="str">
        <f t="shared" si="19"/>
        <v/>
      </c>
      <c r="EJ336" s="337"/>
      <c r="EK336" s="338" t="str">
        <f t="shared" si="20"/>
        <v/>
      </c>
    </row>
    <row r="337" spans="135:141" x14ac:dyDescent="0.35">
      <c r="EE337" s="329" t="str">
        <f t="array" ref="EE337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493" t="str">
        <f t="array" ref="EF337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30" t="str">
        <f>IFERROR(IF('BHPC MANAGER'!$EE337="","",INDEX(inventory[ESISTENZA],MATCH('BHPC MANAGER'!$EE337,inventory[SKU],0))),0)</f>
        <v/>
      </c>
      <c r="EH337" s="331"/>
      <c r="EI337" s="331" t="str">
        <f t="shared" si="19"/>
        <v/>
      </c>
      <c r="EJ337" s="332"/>
      <c r="EK337" s="333" t="str">
        <f t="shared" si="20"/>
        <v/>
      </c>
    </row>
    <row r="338" spans="135:141" x14ac:dyDescent="0.35">
      <c r="EE338" s="334" t="str">
        <f t="array" ref="EE338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494" t="str">
        <f t="array" ref="EF338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35" t="str">
        <f>IFERROR(IF('BHPC MANAGER'!$EE338="","",INDEX(inventory[ESISTENZA],MATCH('BHPC MANAGER'!$EE338,inventory[SKU],0))),0)</f>
        <v/>
      </c>
      <c r="EH338" s="336"/>
      <c r="EI338" s="336" t="str">
        <f t="shared" si="19"/>
        <v/>
      </c>
      <c r="EJ338" s="337"/>
      <c r="EK338" s="338" t="str">
        <f t="shared" si="20"/>
        <v/>
      </c>
    </row>
    <row r="339" spans="135:141" x14ac:dyDescent="0.35">
      <c r="EE339" s="329" t="str">
        <f t="array" ref="EE339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493" t="str">
        <f t="array" ref="EF339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30" t="str">
        <f>IFERROR(IF('BHPC MANAGER'!$EE339="","",INDEX(inventory[ESISTENZA],MATCH('BHPC MANAGER'!$EE339,inventory[SKU],0))),0)</f>
        <v/>
      </c>
      <c r="EH339" s="331"/>
      <c r="EI339" s="331" t="str">
        <f t="shared" si="19"/>
        <v/>
      </c>
      <c r="EJ339" s="332"/>
      <c r="EK339" s="333" t="str">
        <f t="shared" si="20"/>
        <v/>
      </c>
    </row>
    <row r="340" spans="135:141" x14ac:dyDescent="0.35">
      <c r="EE340" s="334" t="str">
        <f t="array" ref="EE340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494" t="str">
        <f t="array" ref="EF340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35" t="str">
        <f>IFERROR(IF('BHPC MANAGER'!$EE340="","",INDEX(inventory[ESISTENZA],MATCH('BHPC MANAGER'!$EE340,inventory[SKU],0))),0)</f>
        <v/>
      </c>
      <c r="EH340" s="336"/>
      <c r="EI340" s="336" t="str">
        <f t="shared" si="19"/>
        <v/>
      </c>
      <c r="EJ340" s="337"/>
      <c r="EK340" s="338" t="str">
        <f t="shared" si="20"/>
        <v/>
      </c>
    </row>
    <row r="341" spans="135:141" x14ac:dyDescent="0.35">
      <c r="EE341" s="329" t="str">
        <f t="array" ref="EE341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493" t="str">
        <f t="array" ref="EF341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30" t="str">
        <f>IFERROR(IF('BHPC MANAGER'!$EE341="","",INDEX(inventory[ESISTENZA],MATCH('BHPC MANAGER'!$EE341,inventory[SKU],0))),0)</f>
        <v/>
      </c>
      <c r="EH341" s="331"/>
      <c r="EI341" s="331" t="str">
        <f t="shared" si="19"/>
        <v/>
      </c>
      <c r="EJ341" s="332"/>
      <c r="EK341" s="333" t="str">
        <f t="shared" si="20"/>
        <v/>
      </c>
    </row>
    <row r="342" spans="135:141" x14ac:dyDescent="0.35">
      <c r="EE342" s="334" t="str">
        <f t="array" ref="EE342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494" t="str">
        <f t="array" ref="EF342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35" t="str">
        <f>IFERROR(IF('BHPC MANAGER'!$EE342="","",INDEX(inventory[ESISTENZA],MATCH('BHPC MANAGER'!$EE342,inventory[SKU],0))),0)</f>
        <v/>
      </c>
      <c r="EH342" s="336"/>
      <c r="EI342" s="336" t="str">
        <f t="shared" si="19"/>
        <v/>
      </c>
      <c r="EJ342" s="337"/>
      <c r="EK342" s="338" t="str">
        <f t="shared" si="20"/>
        <v/>
      </c>
    </row>
    <row r="343" spans="135:141" x14ac:dyDescent="0.35">
      <c r="EE343" s="329" t="str">
        <f t="array" ref="EE343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493" t="str">
        <f t="array" ref="EF343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30" t="str">
        <f>IFERROR(IF('BHPC MANAGER'!$EE343="","",INDEX(inventory[ESISTENZA],MATCH('BHPC MANAGER'!$EE343,inventory[SKU],0))),0)</f>
        <v/>
      </c>
      <c r="EH343" s="331"/>
      <c r="EI343" s="331" t="str">
        <f t="shared" si="19"/>
        <v/>
      </c>
      <c r="EJ343" s="332"/>
      <c r="EK343" s="333" t="str">
        <f t="shared" si="20"/>
        <v/>
      </c>
    </row>
    <row r="344" spans="135:141" x14ac:dyDescent="0.35">
      <c r="EE344" s="334" t="str">
        <f t="array" ref="EE344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494" t="str">
        <f t="array" ref="EF344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35" t="str">
        <f>IFERROR(IF('BHPC MANAGER'!$EE344="","",INDEX(inventory[ESISTENZA],MATCH('BHPC MANAGER'!$EE344,inventory[SKU],0))),0)</f>
        <v/>
      </c>
      <c r="EH344" s="336"/>
      <c r="EI344" s="336" t="str">
        <f t="shared" si="19"/>
        <v/>
      </c>
      <c r="EJ344" s="337"/>
      <c r="EK344" s="338" t="str">
        <f t="shared" si="20"/>
        <v/>
      </c>
    </row>
    <row r="345" spans="135:141" x14ac:dyDescent="0.35">
      <c r="EE345" s="329" t="str">
        <f t="array" ref="EE345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493" t="str">
        <f t="array" ref="EF345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30" t="str">
        <f>IFERROR(IF('BHPC MANAGER'!$EE345="","",INDEX(inventory[ESISTENZA],MATCH('BHPC MANAGER'!$EE345,inventory[SKU],0))),0)</f>
        <v/>
      </c>
      <c r="EH345" s="331"/>
      <c r="EI345" s="331" t="str">
        <f t="shared" si="19"/>
        <v/>
      </c>
      <c r="EJ345" s="332"/>
      <c r="EK345" s="333" t="str">
        <f t="shared" si="20"/>
        <v/>
      </c>
    </row>
    <row r="346" spans="135:141" x14ac:dyDescent="0.35">
      <c r="EE346" s="334" t="str">
        <f t="array" ref="EE346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494" t="str">
        <f t="array" ref="EF346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35" t="str">
        <f>IFERROR(IF('BHPC MANAGER'!$EE346="","",INDEX(inventory[ESISTENZA],MATCH('BHPC MANAGER'!$EE346,inventory[SKU],0))),0)</f>
        <v/>
      </c>
      <c r="EH346" s="336"/>
      <c r="EI346" s="336" t="str">
        <f t="shared" si="19"/>
        <v/>
      </c>
      <c r="EJ346" s="337"/>
      <c r="EK346" s="338" t="str">
        <f t="shared" si="20"/>
        <v/>
      </c>
    </row>
    <row r="347" spans="135:141" x14ac:dyDescent="0.35">
      <c r="EE347" s="329" t="str">
        <f t="array" ref="EE347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493" t="str">
        <f t="array" ref="EF347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30" t="str">
        <f>IFERROR(IF('BHPC MANAGER'!$EE347="","",INDEX(inventory[ESISTENZA],MATCH('BHPC MANAGER'!$EE347,inventory[SKU],0))),0)</f>
        <v/>
      </c>
      <c r="EH347" s="331"/>
      <c r="EI347" s="331" t="str">
        <f t="shared" si="19"/>
        <v/>
      </c>
      <c r="EJ347" s="332"/>
      <c r="EK347" s="333" t="str">
        <f t="shared" si="20"/>
        <v/>
      </c>
    </row>
    <row r="348" spans="135:141" x14ac:dyDescent="0.35">
      <c r="EE348" s="334" t="str">
        <f t="array" ref="EE348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494" t="str">
        <f t="array" ref="EF348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35" t="str">
        <f>IFERROR(IF('BHPC MANAGER'!$EE348="","",INDEX(inventory[ESISTENZA],MATCH('BHPC MANAGER'!$EE348,inventory[SKU],0))),0)</f>
        <v/>
      </c>
      <c r="EH348" s="336"/>
      <c r="EI348" s="336" t="str">
        <f t="shared" si="19"/>
        <v/>
      </c>
      <c r="EJ348" s="337"/>
      <c r="EK348" s="338" t="str">
        <f t="shared" si="20"/>
        <v/>
      </c>
    </row>
    <row r="349" spans="135:141" x14ac:dyDescent="0.35">
      <c r="EE349" s="329" t="str">
        <f t="array" ref="EE349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493" t="str">
        <f t="array" ref="EF349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30" t="str">
        <f>IFERROR(IF('BHPC MANAGER'!$EE349="","",INDEX(inventory[ESISTENZA],MATCH('BHPC MANAGER'!$EE349,inventory[SKU],0))),0)</f>
        <v/>
      </c>
      <c r="EH349" s="331"/>
      <c r="EI349" s="331" t="str">
        <f t="shared" si="19"/>
        <v/>
      </c>
      <c r="EJ349" s="332"/>
      <c r="EK349" s="333" t="str">
        <f t="shared" si="20"/>
        <v/>
      </c>
    </row>
    <row r="350" spans="135:141" x14ac:dyDescent="0.35">
      <c r="EE350" s="334" t="str">
        <f t="array" ref="EE350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494" t="str">
        <f t="array" ref="EF350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35" t="str">
        <f>IFERROR(IF('BHPC MANAGER'!$EE350="","",INDEX(inventory[ESISTENZA],MATCH('BHPC MANAGER'!$EE350,inventory[SKU],0))),0)</f>
        <v/>
      </c>
      <c r="EH350" s="336"/>
      <c r="EI350" s="336" t="str">
        <f t="shared" si="19"/>
        <v/>
      </c>
      <c r="EJ350" s="337"/>
      <c r="EK350" s="338" t="str">
        <f t="shared" si="20"/>
        <v/>
      </c>
    </row>
    <row r="351" spans="135:141" x14ac:dyDescent="0.35">
      <c r="EE351" s="329" t="str">
        <f t="array" ref="EE351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493" t="str">
        <f t="array" ref="EF351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30" t="str">
        <f>IFERROR(IF('BHPC MANAGER'!$EE351="","",INDEX(inventory[ESISTENZA],MATCH('BHPC MANAGER'!$EE351,inventory[SKU],0))),0)</f>
        <v/>
      </c>
      <c r="EH351" s="331"/>
      <c r="EI351" s="331" t="str">
        <f t="shared" si="19"/>
        <v/>
      </c>
      <c r="EJ351" s="332"/>
      <c r="EK351" s="333" t="str">
        <f t="shared" si="20"/>
        <v/>
      </c>
    </row>
    <row r="352" spans="135:141" x14ac:dyDescent="0.35">
      <c r="EE352" s="334" t="str">
        <f t="array" ref="EE352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494" t="str">
        <f t="array" ref="EF352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35" t="str">
        <f>IFERROR(IF('BHPC MANAGER'!$EE352="","",INDEX(inventory[ESISTENZA],MATCH('BHPC MANAGER'!$EE352,inventory[SKU],0))),0)</f>
        <v/>
      </c>
      <c r="EH352" s="336"/>
      <c r="EI352" s="336" t="str">
        <f t="shared" si="19"/>
        <v/>
      </c>
      <c r="EJ352" s="337"/>
      <c r="EK352" s="338" t="str">
        <f t="shared" si="20"/>
        <v/>
      </c>
    </row>
    <row r="353" spans="135:141" x14ac:dyDescent="0.35">
      <c r="EE353" s="329" t="str">
        <f t="array" ref="EE353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493" t="str">
        <f t="array" ref="EF353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30" t="str">
        <f>IFERROR(IF('BHPC MANAGER'!$EE353="","",INDEX(inventory[ESISTENZA],MATCH('BHPC MANAGER'!$EE353,inventory[SKU],0))),0)</f>
        <v/>
      </c>
      <c r="EH353" s="331"/>
      <c r="EI353" s="331" t="str">
        <f t="shared" si="19"/>
        <v/>
      </c>
      <c r="EJ353" s="332"/>
      <c r="EK353" s="333" t="str">
        <f t="shared" si="20"/>
        <v/>
      </c>
    </row>
    <row r="354" spans="135:141" x14ac:dyDescent="0.35">
      <c r="EE354" s="334" t="str">
        <f t="array" ref="EE354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494" t="str">
        <f t="array" ref="EF354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35" t="str">
        <f>IFERROR(IF('BHPC MANAGER'!$EE354="","",INDEX(inventory[ESISTENZA],MATCH('BHPC MANAGER'!$EE354,inventory[SKU],0))),0)</f>
        <v/>
      </c>
      <c r="EH354" s="336"/>
      <c r="EI354" s="336" t="str">
        <f t="shared" si="19"/>
        <v/>
      </c>
      <c r="EJ354" s="337"/>
      <c r="EK354" s="338" t="str">
        <f t="shared" si="20"/>
        <v/>
      </c>
    </row>
    <row r="355" spans="135:141" x14ac:dyDescent="0.35">
      <c r="EE355" s="329" t="str">
        <f t="array" ref="EE355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493" t="str">
        <f t="array" ref="EF355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30" t="str">
        <f>IFERROR(IF('BHPC MANAGER'!$EE355="","",INDEX(inventory[ESISTENZA],MATCH('BHPC MANAGER'!$EE355,inventory[SKU],0))),0)</f>
        <v/>
      </c>
      <c r="EH355" s="331"/>
      <c r="EI355" s="331" t="str">
        <f t="shared" si="19"/>
        <v/>
      </c>
      <c r="EJ355" s="332"/>
      <c r="EK355" s="333" t="str">
        <f t="shared" si="20"/>
        <v/>
      </c>
    </row>
    <row r="356" spans="135:141" x14ac:dyDescent="0.35">
      <c r="EE356" s="334" t="str">
        <f t="array" ref="EE356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494" t="str">
        <f t="array" ref="EF356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35" t="str">
        <f>IFERROR(IF('BHPC MANAGER'!$EE356="","",INDEX(inventory[ESISTENZA],MATCH('BHPC MANAGER'!$EE356,inventory[SKU],0))),0)</f>
        <v/>
      </c>
      <c r="EH356" s="336"/>
      <c r="EI356" s="336" t="str">
        <f t="shared" si="19"/>
        <v/>
      </c>
      <c r="EJ356" s="337"/>
      <c r="EK356" s="338" t="str">
        <f t="shared" si="20"/>
        <v/>
      </c>
    </row>
    <row r="357" spans="135:141" x14ac:dyDescent="0.35">
      <c r="EE357" s="329" t="str">
        <f t="array" ref="EE357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493" t="str">
        <f t="array" ref="EF357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30" t="str">
        <f>IFERROR(IF('BHPC MANAGER'!$EE357="","",INDEX(inventory[ESISTENZA],MATCH('BHPC MANAGER'!$EE357,inventory[SKU],0))),0)</f>
        <v/>
      </c>
      <c r="EH357" s="331"/>
      <c r="EI357" s="331" t="str">
        <f t="shared" si="19"/>
        <v/>
      </c>
      <c r="EJ357" s="332"/>
      <c r="EK357" s="333" t="str">
        <f t="shared" si="20"/>
        <v/>
      </c>
    </row>
    <row r="358" spans="135:141" x14ac:dyDescent="0.35">
      <c r="EE358" s="334" t="str">
        <f t="array" ref="EE358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494" t="str">
        <f t="array" ref="EF358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35" t="str">
        <f>IFERROR(IF('BHPC MANAGER'!$EE358="","",INDEX(inventory[ESISTENZA],MATCH('BHPC MANAGER'!$EE358,inventory[SKU],0))),0)</f>
        <v/>
      </c>
      <c r="EH358" s="336"/>
      <c r="EI358" s="336" t="str">
        <f t="shared" si="19"/>
        <v/>
      </c>
      <c r="EJ358" s="337"/>
      <c r="EK358" s="338" t="str">
        <f t="shared" si="20"/>
        <v/>
      </c>
    </row>
    <row r="359" spans="135:141" x14ac:dyDescent="0.35">
      <c r="EE359" s="329" t="str">
        <f t="array" ref="EE359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493" t="str">
        <f t="array" ref="EF359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30" t="str">
        <f>IFERROR(IF('BHPC MANAGER'!$EE359="","",INDEX(inventory[ESISTENZA],MATCH('BHPC MANAGER'!$EE359,inventory[SKU],0))),0)</f>
        <v/>
      </c>
      <c r="EH359" s="331"/>
      <c r="EI359" s="331" t="str">
        <f t="shared" si="19"/>
        <v/>
      </c>
      <c r="EJ359" s="332"/>
      <c r="EK359" s="333" t="str">
        <f t="shared" si="20"/>
        <v/>
      </c>
    </row>
    <row r="360" spans="135:141" x14ac:dyDescent="0.35">
      <c r="EE360" s="334" t="str">
        <f t="array" ref="EE360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494" t="str">
        <f t="array" ref="EF360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35" t="str">
        <f>IFERROR(IF('BHPC MANAGER'!$EE360="","",INDEX(inventory[ESISTENZA],MATCH('BHPC MANAGER'!$EE360,inventory[SKU],0))),0)</f>
        <v/>
      </c>
      <c r="EH360" s="336"/>
      <c r="EI360" s="336" t="str">
        <f t="shared" si="19"/>
        <v/>
      </c>
      <c r="EJ360" s="337"/>
      <c r="EK360" s="338" t="str">
        <f t="shared" si="20"/>
        <v/>
      </c>
    </row>
    <row r="361" spans="135:141" x14ac:dyDescent="0.35">
      <c r="EE361" s="329" t="str">
        <f t="array" ref="EE361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493" t="str">
        <f t="array" ref="EF361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30" t="str">
        <f>IFERROR(IF('BHPC MANAGER'!$EE361="","",INDEX(inventory[ESISTENZA],MATCH('BHPC MANAGER'!$EE361,inventory[SKU],0))),0)</f>
        <v/>
      </c>
      <c r="EH361" s="331"/>
      <c r="EI361" s="331" t="str">
        <f t="shared" si="19"/>
        <v/>
      </c>
      <c r="EJ361" s="332"/>
      <c r="EK361" s="333" t="str">
        <f t="shared" si="20"/>
        <v/>
      </c>
    </row>
    <row r="362" spans="135:141" x14ac:dyDescent="0.35">
      <c r="EE362" s="334" t="str">
        <f t="array" ref="EE362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494" t="str">
        <f t="array" ref="EF362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35" t="str">
        <f>IFERROR(IF('BHPC MANAGER'!$EE362="","",INDEX(inventory[ESISTENZA],MATCH('BHPC MANAGER'!$EE362,inventory[SKU],0))),0)</f>
        <v/>
      </c>
      <c r="EH362" s="336"/>
      <c r="EI362" s="336" t="str">
        <f t="shared" si="19"/>
        <v/>
      </c>
      <c r="EJ362" s="337"/>
      <c r="EK362" s="338" t="str">
        <f t="shared" si="20"/>
        <v/>
      </c>
    </row>
    <row r="363" spans="135:141" x14ac:dyDescent="0.35">
      <c r="EE363" s="329" t="str">
        <f t="array" ref="EE363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493" t="str">
        <f t="array" ref="EF363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30" t="str">
        <f>IFERROR(IF('BHPC MANAGER'!$EE363="","",INDEX(inventory[ESISTENZA],MATCH('BHPC MANAGER'!$EE363,inventory[SKU],0))),0)</f>
        <v/>
      </c>
      <c r="EH363" s="331"/>
      <c r="EI363" s="331" t="str">
        <f t="shared" si="19"/>
        <v/>
      </c>
      <c r="EJ363" s="332"/>
      <c r="EK363" s="333" t="str">
        <f t="shared" si="20"/>
        <v/>
      </c>
    </row>
    <row r="364" spans="135:141" x14ac:dyDescent="0.35">
      <c r="EE364" s="334" t="str">
        <f t="array" ref="EE364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494" t="str">
        <f t="array" ref="EF364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35" t="str">
        <f>IFERROR(IF('BHPC MANAGER'!$EE364="","",INDEX(inventory[ESISTENZA],MATCH('BHPC MANAGER'!$EE364,inventory[SKU],0))),0)</f>
        <v/>
      </c>
      <c r="EH364" s="336"/>
      <c r="EI364" s="336" t="str">
        <f t="shared" si="19"/>
        <v/>
      </c>
      <c r="EJ364" s="337"/>
      <c r="EK364" s="338" t="str">
        <f t="shared" si="20"/>
        <v/>
      </c>
    </row>
    <row r="365" spans="135:141" x14ac:dyDescent="0.35">
      <c r="EE365" s="329" t="str">
        <f t="array" ref="EE365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493" t="str">
        <f t="array" ref="EF365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30" t="str">
        <f>IFERROR(IF('BHPC MANAGER'!$EE365="","",INDEX(inventory[ESISTENZA],MATCH('BHPC MANAGER'!$EE365,inventory[SKU],0))),0)</f>
        <v/>
      </c>
      <c r="EH365" s="331"/>
      <c r="EI365" s="331" t="str">
        <f t="shared" si="19"/>
        <v/>
      </c>
      <c r="EJ365" s="332"/>
      <c r="EK365" s="333" t="str">
        <f t="shared" si="20"/>
        <v/>
      </c>
    </row>
    <row r="366" spans="135:141" x14ac:dyDescent="0.35">
      <c r="EE366" s="334" t="str">
        <f t="array" ref="EE366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494" t="str">
        <f t="array" ref="EF366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35" t="str">
        <f>IFERROR(IF('BHPC MANAGER'!$EE366="","",INDEX(inventory[ESISTENZA],MATCH('BHPC MANAGER'!$EE366,inventory[SKU],0))),0)</f>
        <v/>
      </c>
      <c r="EH366" s="336"/>
      <c r="EI366" s="336" t="str">
        <f t="shared" si="19"/>
        <v/>
      </c>
      <c r="EJ366" s="337"/>
      <c r="EK366" s="338" t="str">
        <f t="shared" si="20"/>
        <v/>
      </c>
    </row>
    <row r="367" spans="135:141" x14ac:dyDescent="0.35">
      <c r="EE367" s="329" t="str">
        <f t="array" ref="EE367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493" t="str">
        <f t="array" ref="EF367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30" t="str">
        <f>IFERROR(IF('BHPC MANAGER'!$EE367="","",INDEX(inventory[ESISTENZA],MATCH('BHPC MANAGER'!$EE367,inventory[SKU],0))),0)</f>
        <v/>
      </c>
      <c r="EH367" s="331"/>
      <c r="EI367" s="331" t="str">
        <f t="shared" si="19"/>
        <v/>
      </c>
      <c r="EJ367" s="332"/>
      <c r="EK367" s="333" t="str">
        <f t="shared" si="20"/>
        <v/>
      </c>
    </row>
    <row r="368" spans="135:141" x14ac:dyDescent="0.35">
      <c r="EE368" s="334" t="str">
        <f t="array" ref="EE368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494" t="str">
        <f t="array" ref="EF368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35" t="str">
        <f>IFERROR(IF('BHPC MANAGER'!$EE368="","",INDEX(inventory[ESISTENZA],MATCH('BHPC MANAGER'!$EE368,inventory[SKU],0))),0)</f>
        <v/>
      </c>
      <c r="EH368" s="336"/>
      <c r="EI368" s="336" t="str">
        <f t="shared" si="19"/>
        <v/>
      </c>
      <c r="EJ368" s="337"/>
      <c r="EK368" s="338" t="str">
        <f t="shared" si="20"/>
        <v/>
      </c>
    </row>
    <row r="369" spans="135:141" x14ac:dyDescent="0.35">
      <c r="EE369" s="329" t="str">
        <f t="array" ref="EE369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493" t="str">
        <f t="array" ref="EF369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30" t="str">
        <f>IFERROR(IF('BHPC MANAGER'!$EE369="","",INDEX(inventory[ESISTENZA],MATCH('BHPC MANAGER'!$EE369,inventory[SKU],0))),0)</f>
        <v/>
      </c>
      <c r="EH369" s="331"/>
      <c r="EI369" s="331" t="str">
        <f t="shared" si="19"/>
        <v/>
      </c>
      <c r="EJ369" s="332"/>
      <c r="EK369" s="333" t="str">
        <f t="shared" si="20"/>
        <v/>
      </c>
    </row>
    <row r="370" spans="135:141" x14ac:dyDescent="0.35">
      <c r="EE370" s="334" t="str">
        <f t="array" ref="EE370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494" t="str">
        <f t="array" ref="EF370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35" t="str">
        <f>IFERROR(IF('BHPC MANAGER'!$EE370="","",INDEX(inventory[ESISTENZA],MATCH('BHPC MANAGER'!$EE370,inventory[SKU],0))),0)</f>
        <v/>
      </c>
      <c r="EH370" s="336"/>
      <c r="EI370" s="336" t="str">
        <f t="shared" si="19"/>
        <v/>
      </c>
      <c r="EJ370" s="337"/>
      <c r="EK370" s="338" t="str">
        <f t="shared" si="20"/>
        <v/>
      </c>
    </row>
    <row r="371" spans="135:141" x14ac:dyDescent="0.35">
      <c r="EE371" s="329" t="str">
        <f t="array" ref="EE371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493" t="str">
        <f t="array" ref="EF371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30" t="str">
        <f>IFERROR(IF('BHPC MANAGER'!$EE371="","",INDEX(inventory[ESISTENZA],MATCH('BHPC MANAGER'!$EE371,inventory[SKU],0))),0)</f>
        <v/>
      </c>
      <c r="EH371" s="331"/>
      <c r="EI371" s="331" t="str">
        <f t="shared" si="19"/>
        <v/>
      </c>
      <c r="EJ371" s="332"/>
      <c r="EK371" s="333" t="str">
        <f t="shared" si="20"/>
        <v/>
      </c>
    </row>
    <row r="372" spans="135:141" x14ac:dyDescent="0.35">
      <c r="EE372" s="334" t="str">
        <f t="array" ref="EE372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494" t="str">
        <f t="array" ref="EF372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35" t="str">
        <f>IFERROR(IF('BHPC MANAGER'!$EE372="","",INDEX(inventory[ESISTENZA],MATCH('BHPC MANAGER'!$EE372,inventory[SKU],0))),0)</f>
        <v/>
      </c>
      <c r="EH372" s="336"/>
      <c r="EI372" s="336" t="str">
        <f t="shared" si="19"/>
        <v/>
      </c>
      <c r="EJ372" s="337"/>
      <c r="EK372" s="338" t="str">
        <f t="shared" si="20"/>
        <v/>
      </c>
    </row>
    <row r="373" spans="135:141" x14ac:dyDescent="0.35">
      <c r="EE373" s="329" t="str">
        <f t="array" ref="EE373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493" t="str">
        <f t="array" ref="EF373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30" t="str">
        <f>IFERROR(IF('BHPC MANAGER'!$EE373="","",INDEX(inventory[ESISTENZA],MATCH('BHPC MANAGER'!$EE373,inventory[SKU],0))),0)</f>
        <v/>
      </c>
      <c r="EH373" s="331"/>
      <c r="EI373" s="331" t="str">
        <f t="shared" si="19"/>
        <v/>
      </c>
      <c r="EJ373" s="332"/>
      <c r="EK373" s="333" t="str">
        <f t="shared" si="20"/>
        <v/>
      </c>
    </row>
    <row r="374" spans="135:141" x14ac:dyDescent="0.35">
      <c r="EE374" s="334" t="str">
        <f t="array" ref="EE374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494" t="str">
        <f t="array" ref="EF374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35" t="str">
        <f>IFERROR(IF('BHPC MANAGER'!$EE374="","",INDEX(inventory[ESISTENZA],MATCH('BHPC MANAGER'!$EE374,inventory[SKU],0))),0)</f>
        <v/>
      </c>
      <c r="EH374" s="336"/>
      <c r="EI374" s="336" t="str">
        <f t="shared" si="19"/>
        <v/>
      </c>
      <c r="EJ374" s="337"/>
      <c r="EK374" s="338" t="str">
        <f t="shared" si="20"/>
        <v/>
      </c>
    </row>
    <row r="375" spans="135:141" x14ac:dyDescent="0.35">
      <c r="EE375" s="329" t="str">
        <f t="array" ref="EE375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493" t="str">
        <f t="array" ref="EF375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30" t="str">
        <f>IFERROR(IF('BHPC MANAGER'!$EE375="","",INDEX(inventory[ESISTENZA],MATCH('BHPC MANAGER'!$EE375,inventory[SKU],0))),0)</f>
        <v/>
      </c>
      <c r="EH375" s="331"/>
      <c r="EI375" s="331" t="str">
        <f t="shared" si="19"/>
        <v/>
      </c>
      <c r="EJ375" s="332"/>
      <c r="EK375" s="333" t="str">
        <f t="shared" si="20"/>
        <v/>
      </c>
    </row>
    <row r="376" spans="135:141" x14ac:dyDescent="0.35">
      <c r="EE376" s="334" t="str">
        <f t="array" ref="EE376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494" t="str">
        <f t="array" ref="EF376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35" t="str">
        <f>IFERROR(IF('BHPC MANAGER'!$EE376="","",INDEX(inventory[ESISTENZA],MATCH('BHPC MANAGER'!$EE376,inventory[SKU],0))),0)</f>
        <v/>
      </c>
      <c r="EH376" s="336"/>
      <c r="EI376" s="336" t="str">
        <f t="shared" si="19"/>
        <v/>
      </c>
      <c r="EJ376" s="337"/>
      <c r="EK376" s="338" t="str">
        <f t="shared" si="20"/>
        <v/>
      </c>
    </row>
    <row r="377" spans="135:141" x14ac:dyDescent="0.35">
      <c r="EE377" s="329" t="str">
        <f t="array" ref="EE377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493" t="str">
        <f t="array" ref="EF377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30" t="str">
        <f>IFERROR(IF('BHPC MANAGER'!$EE377="","",INDEX(inventory[ESISTENZA],MATCH('BHPC MANAGER'!$EE377,inventory[SKU],0))),0)</f>
        <v/>
      </c>
      <c r="EH377" s="331"/>
      <c r="EI377" s="331" t="str">
        <f t="shared" si="19"/>
        <v/>
      </c>
      <c r="EJ377" s="332"/>
      <c r="EK377" s="333" t="str">
        <f t="shared" si="20"/>
        <v/>
      </c>
    </row>
    <row r="378" spans="135:141" x14ac:dyDescent="0.35">
      <c r="EE378" s="334" t="str">
        <f t="array" ref="EE378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494" t="str">
        <f t="array" ref="EF378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35" t="str">
        <f>IFERROR(IF('BHPC MANAGER'!$EE378="","",INDEX(inventory[ESISTENZA],MATCH('BHPC MANAGER'!$EE378,inventory[SKU],0))),0)</f>
        <v/>
      </c>
      <c r="EH378" s="336"/>
      <c r="EI378" s="336" t="str">
        <f t="shared" si="19"/>
        <v/>
      </c>
      <c r="EJ378" s="337"/>
      <c r="EK378" s="338" t="str">
        <f t="shared" si="20"/>
        <v/>
      </c>
    </row>
    <row r="379" spans="135:141" x14ac:dyDescent="0.35">
      <c r="EE379" s="329" t="str">
        <f t="array" ref="EE379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493" t="str">
        <f t="array" ref="EF379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30" t="str">
        <f>IFERROR(IF('BHPC MANAGER'!$EE379="","",INDEX(inventory[ESISTENZA],MATCH('BHPC MANAGER'!$EE379,inventory[SKU],0))),0)</f>
        <v/>
      </c>
      <c r="EH379" s="331"/>
      <c r="EI379" s="331" t="str">
        <f t="shared" si="19"/>
        <v/>
      </c>
      <c r="EJ379" s="332"/>
      <c r="EK379" s="333" t="str">
        <f t="shared" si="20"/>
        <v/>
      </c>
    </row>
    <row r="380" spans="135:141" x14ac:dyDescent="0.35">
      <c r="EE380" s="334" t="str">
        <f t="array" ref="EE380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494" t="str">
        <f t="array" ref="EF380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35" t="str">
        <f>IFERROR(IF('BHPC MANAGER'!$EE380="","",INDEX(inventory[ESISTENZA],MATCH('BHPC MANAGER'!$EE380,inventory[SKU],0))),0)</f>
        <v/>
      </c>
      <c r="EH380" s="336"/>
      <c r="EI380" s="336" t="str">
        <f t="shared" si="19"/>
        <v/>
      </c>
      <c r="EJ380" s="337"/>
      <c r="EK380" s="338" t="str">
        <f t="shared" si="20"/>
        <v/>
      </c>
    </row>
    <row r="381" spans="135:141" x14ac:dyDescent="0.35">
      <c r="EE381" s="329" t="str">
        <f t="array" ref="EE381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493" t="str">
        <f t="array" ref="EF381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30" t="str">
        <f>IFERROR(IF('BHPC MANAGER'!$EE381="","",INDEX(inventory[ESISTENZA],MATCH('BHPC MANAGER'!$EE381,inventory[SKU],0))),0)</f>
        <v/>
      </c>
      <c r="EH381" s="331"/>
      <c r="EI381" s="331" t="str">
        <f t="shared" si="19"/>
        <v/>
      </c>
      <c r="EJ381" s="332"/>
      <c r="EK381" s="333" t="str">
        <f t="shared" si="20"/>
        <v/>
      </c>
    </row>
    <row r="382" spans="135:141" x14ac:dyDescent="0.35">
      <c r="EE382" s="334" t="str">
        <f t="array" ref="EE382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494" t="str">
        <f t="array" ref="EF382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35" t="str">
        <f>IFERROR(IF('BHPC MANAGER'!$EE382="","",INDEX(inventory[ESISTENZA],MATCH('BHPC MANAGER'!$EE382,inventory[SKU],0))),0)</f>
        <v/>
      </c>
      <c r="EH382" s="336"/>
      <c r="EI382" s="336" t="str">
        <f t="shared" si="19"/>
        <v/>
      </c>
      <c r="EJ382" s="337"/>
      <c r="EK382" s="338" t="str">
        <f t="shared" si="20"/>
        <v/>
      </c>
    </row>
    <row r="383" spans="135:141" x14ac:dyDescent="0.35">
      <c r="EE383" s="329" t="str">
        <f t="array" ref="EE383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493" t="str">
        <f t="array" ref="EF383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30" t="str">
        <f>IFERROR(IF('BHPC MANAGER'!$EE383="","",INDEX(inventory[ESISTENZA],MATCH('BHPC MANAGER'!$EE383,inventory[SKU],0))),0)</f>
        <v/>
      </c>
      <c r="EH383" s="331"/>
      <c r="EI383" s="331" t="str">
        <f t="shared" si="19"/>
        <v/>
      </c>
      <c r="EJ383" s="332"/>
      <c r="EK383" s="333" t="str">
        <f t="shared" si="20"/>
        <v/>
      </c>
    </row>
    <row r="384" spans="135:141" x14ac:dyDescent="0.35">
      <c r="EE384" s="334" t="str">
        <f t="array" ref="EE384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494" t="str">
        <f t="array" ref="EF384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35" t="str">
        <f>IFERROR(IF('BHPC MANAGER'!$EE384="","",INDEX(inventory[ESISTENZA],MATCH('BHPC MANAGER'!$EE384,inventory[SKU],0))),0)</f>
        <v/>
      </c>
      <c r="EH384" s="336"/>
      <c r="EI384" s="336" t="str">
        <f t="shared" si="19"/>
        <v/>
      </c>
      <c r="EJ384" s="337"/>
      <c r="EK384" s="338" t="str">
        <f t="shared" si="20"/>
        <v/>
      </c>
    </row>
    <row r="385" spans="135:141" x14ac:dyDescent="0.35">
      <c r="EE385" s="329" t="str">
        <f t="array" ref="EE385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493" t="str">
        <f t="array" ref="EF385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30" t="str">
        <f>IFERROR(IF('BHPC MANAGER'!$EE385="","",INDEX(inventory[ESISTENZA],MATCH('BHPC MANAGER'!$EE385,inventory[SKU],0))),0)</f>
        <v/>
      </c>
      <c r="EH385" s="331"/>
      <c r="EI385" s="331" t="str">
        <f t="shared" si="19"/>
        <v/>
      </c>
      <c r="EJ385" s="332"/>
      <c r="EK385" s="333" t="str">
        <f t="shared" si="20"/>
        <v/>
      </c>
    </row>
    <row r="386" spans="135:141" x14ac:dyDescent="0.35">
      <c r="EE386" s="334" t="str">
        <f t="array" ref="EE386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494" t="str">
        <f t="array" ref="EF386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35" t="str">
        <f>IFERROR(IF('BHPC MANAGER'!$EE386="","",INDEX(inventory[ESISTENZA],MATCH('BHPC MANAGER'!$EE386,inventory[SKU],0))),0)</f>
        <v/>
      </c>
      <c r="EH386" s="336"/>
      <c r="EI386" s="336" t="str">
        <f t="shared" si="19"/>
        <v/>
      </c>
      <c r="EJ386" s="337"/>
      <c r="EK386" s="338" t="str">
        <f t="shared" si="20"/>
        <v/>
      </c>
    </row>
    <row r="387" spans="135:141" x14ac:dyDescent="0.35">
      <c r="EE387" s="329" t="str">
        <f t="array" ref="EE387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493" t="str">
        <f t="array" ref="EF387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30" t="str">
        <f>IFERROR(IF('BHPC MANAGER'!$EE387="","",INDEX(inventory[ESISTENZA],MATCH('BHPC MANAGER'!$EE387,inventory[SKU],0))),0)</f>
        <v/>
      </c>
      <c r="EH387" s="331"/>
      <c r="EI387" s="331" t="str">
        <f t="shared" si="19"/>
        <v/>
      </c>
      <c r="EJ387" s="332"/>
      <c r="EK387" s="333" t="str">
        <f t="shared" si="20"/>
        <v/>
      </c>
    </row>
    <row r="388" spans="135:141" x14ac:dyDescent="0.35">
      <c r="EE388" s="334" t="str">
        <f t="array" ref="EE388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494" t="str">
        <f t="array" ref="EF388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35" t="str">
        <f>IFERROR(IF('BHPC MANAGER'!$EE388="","",INDEX(inventory[ESISTENZA],MATCH('BHPC MANAGER'!$EE388,inventory[SKU],0))),0)</f>
        <v/>
      </c>
      <c r="EH388" s="336"/>
      <c r="EI388" s="336" t="str">
        <f t="shared" si="19"/>
        <v/>
      </c>
      <c r="EJ388" s="337"/>
      <c r="EK388" s="338" t="str">
        <f t="shared" si="20"/>
        <v/>
      </c>
    </row>
    <row r="389" spans="135:141" x14ac:dyDescent="0.35">
      <c r="EE389" s="329" t="str">
        <f t="array" ref="EE389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493" t="str">
        <f t="array" ref="EF389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30" t="str">
        <f>IFERROR(IF('BHPC MANAGER'!$EE389="","",INDEX(inventory[ESISTENZA],MATCH('BHPC MANAGER'!$EE389,inventory[SKU],0))),0)</f>
        <v/>
      </c>
      <c r="EH389" s="331"/>
      <c r="EI389" s="331" t="str">
        <f t="shared" si="19"/>
        <v/>
      </c>
      <c r="EJ389" s="332"/>
      <c r="EK389" s="333" t="str">
        <f t="shared" si="20"/>
        <v/>
      </c>
    </row>
    <row r="390" spans="135:141" x14ac:dyDescent="0.35">
      <c r="EE390" s="334" t="str">
        <f t="array" ref="EE390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494" t="str">
        <f t="array" ref="EF390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35" t="str">
        <f>IFERROR(IF('BHPC MANAGER'!$EE390="","",INDEX(inventory[ESISTENZA],MATCH('BHPC MANAGER'!$EE390,inventory[SKU],0))),0)</f>
        <v/>
      </c>
      <c r="EH390" s="336"/>
      <c r="EI390" s="336" t="str">
        <f t="shared" si="19"/>
        <v/>
      </c>
      <c r="EJ390" s="337"/>
      <c r="EK390" s="338" t="str">
        <f t="shared" si="20"/>
        <v/>
      </c>
    </row>
    <row r="391" spans="135:141" x14ac:dyDescent="0.35">
      <c r="EE391" s="329" t="str">
        <f t="array" ref="EE391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493" t="str">
        <f t="array" ref="EF391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30" t="str">
        <f>IFERROR(IF('BHPC MANAGER'!$EE391="","",INDEX(inventory[ESISTENZA],MATCH('BHPC MANAGER'!$EE391,inventory[SKU],0))),0)</f>
        <v/>
      </c>
      <c r="EH391" s="331"/>
      <c r="EI391" s="331" t="str">
        <f t="shared" si="19"/>
        <v/>
      </c>
      <c r="EJ391" s="332"/>
      <c r="EK391" s="333" t="str">
        <f t="shared" si="20"/>
        <v/>
      </c>
    </row>
    <row r="392" spans="135:141" x14ac:dyDescent="0.35">
      <c r="EE392" s="334" t="str">
        <f t="array" ref="EE392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494" t="str">
        <f t="array" ref="EF392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35" t="str">
        <f>IFERROR(IF('BHPC MANAGER'!$EE392="","",INDEX(inventory[ESISTENZA],MATCH('BHPC MANAGER'!$EE392,inventory[SKU],0))),0)</f>
        <v/>
      </c>
      <c r="EH392" s="336"/>
      <c r="EI392" s="336" t="str">
        <f t="shared" si="19"/>
        <v/>
      </c>
      <c r="EJ392" s="337"/>
      <c r="EK392" s="338" t="str">
        <f t="shared" si="20"/>
        <v/>
      </c>
    </row>
    <row r="393" spans="135:141" x14ac:dyDescent="0.35">
      <c r="EE393" s="329" t="str">
        <f t="array" ref="EE393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493" t="str">
        <f t="array" ref="EF393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30" t="str">
        <f>IFERROR(IF('BHPC MANAGER'!$EE393="","",INDEX(inventory[ESISTENZA],MATCH('BHPC MANAGER'!$EE393,inventory[SKU],0))),0)</f>
        <v/>
      </c>
      <c r="EH393" s="331"/>
      <c r="EI393" s="331" t="str">
        <f t="shared" ref="EI393:EI456" si="21">IF(EE393="","",IFERROR(EG393+EH393,EG393))</f>
        <v/>
      </c>
      <c r="EJ393" s="332"/>
      <c r="EK393" s="333" t="str">
        <f t="shared" ref="EK393:EK456" si="22">IF(EE393="","",IFERROR(EI393+EJ393,EI393))</f>
        <v/>
      </c>
    </row>
    <row r="394" spans="135:141" x14ac:dyDescent="0.35">
      <c r="EE394" s="334" t="str">
        <f t="array" ref="EE394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494" t="str">
        <f t="array" ref="EF394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35" t="str">
        <f>IFERROR(IF('BHPC MANAGER'!$EE394="","",INDEX(inventory[ESISTENZA],MATCH('BHPC MANAGER'!$EE394,inventory[SKU],0))),0)</f>
        <v/>
      </c>
      <c r="EH394" s="336"/>
      <c r="EI394" s="336" t="str">
        <f t="shared" si="21"/>
        <v/>
      </c>
      <c r="EJ394" s="337"/>
      <c r="EK394" s="338" t="str">
        <f t="shared" si="22"/>
        <v/>
      </c>
    </row>
    <row r="395" spans="135:141" x14ac:dyDescent="0.35">
      <c r="EE395" s="329" t="str">
        <f t="array" ref="EE395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493" t="str">
        <f t="array" ref="EF395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30" t="str">
        <f>IFERROR(IF('BHPC MANAGER'!$EE395="","",INDEX(inventory[ESISTENZA],MATCH('BHPC MANAGER'!$EE395,inventory[SKU],0))),0)</f>
        <v/>
      </c>
      <c r="EH395" s="331"/>
      <c r="EI395" s="331" t="str">
        <f t="shared" si="21"/>
        <v/>
      </c>
      <c r="EJ395" s="332"/>
      <c r="EK395" s="333" t="str">
        <f t="shared" si="22"/>
        <v/>
      </c>
    </row>
    <row r="396" spans="135:141" x14ac:dyDescent="0.35">
      <c r="EE396" s="334" t="str">
        <f t="array" ref="EE396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494" t="str">
        <f t="array" ref="EF396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35" t="str">
        <f>IFERROR(IF('BHPC MANAGER'!$EE396="","",INDEX(inventory[ESISTENZA],MATCH('BHPC MANAGER'!$EE396,inventory[SKU],0))),0)</f>
        <v/>
      </c>
      <c r="EH396" s="336"/>
      <c r="EI396" s="336" t="str">
        <f t="shared" si="21"/>
        <v/>
      </c>
      <c r="EJ396" s="337"/>
      <c r="EK396" s="338" t="str">
        <f t="shared" si="22"/>
        <v/>
      </c>
    </row>
    <row r="397" spans="135:141" x14ac:dyDescent="0.35">
      <c r="EE397" s="329" t="str">
        <f t="array" ref="EE397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493" t="str">
        <f t="array" ref="EF397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30" t="str">
        <f>IFERROR(IF('BHPC MANAGER'!$EE397="","",INDEX(inventory[ESISTENZA],MATCH('BHPC MANAGER'!$EE397,inventory[SKU],0))),0)</f>
        <v/>
      </c>
      <c r="EH397" s="331"/>
      <c r="EI397" s="331" t="str">
        <f t="shared" si="21"/>
        <v/>
      </c>
      <c r="EJ397" s="332"/>
      <c r="EK397" s="333" t="str">
        <f t="shared" si="22"/>
        <v/>
      </c>
    </row>
    <row r="398" spans="135:141" x14ac:dyDescent="0.35">
      <c r="EE398" s="334" t="str">
        <f t="array" ref="EE398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494" t="str">
        <f t="array" ref="EF398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35" t="str">
        <f>IFERROR(IF('BHPC MANAGER'!$EE398="","",INDEX(inventory[ESISTENZA],MATCH('BHPC MANAGER'!$EE398,inventory[SKU],0))),0)</f>
        <v/>
      </c>
      <c r="EH398" s="336"/>
      <c r="EI398" s="336" t="str">
        <f t="shared" si="21"/>
        <v/>
      </c>
      <c r="EJ398" s="337"/>
      <c r="EK398" s="338" t="str">
        <f t="shared" si="22"/>
        <v/>
      </c>
    </row>
    <row r="399" spans="135:141" x14ac:dyDescent="0.35">
      <c r="EE399" s="329" t="str">
        <f t="array" ref="EE399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493" t="str">
        <f t="array" ref="EF399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30" t="str">
        <f>IFERROR(IF('BHPC MANAGER'!$EE399="","",INDEX(inventory[ESISTENZA],MATCH('BHPC MANAGER'!$EE399,inventory[SKU],0))),0)</f>
        <v/>
      </c>
      <c r="EH399" s="331"/>
      <c r="EI399" s="331" t="str">
        <f t="shared" si="21"/>
        <v/>
      </c>
      <c r="EJ399" s="332"/>
      <c r="EK399" s="333" t="str">
        <f t="shared" si="22"/>
        <v/>
      </c>
    </row>
    <row r="400" spans="135:141" x14ac:dyDescent="0.35">
      <c r="EE400" s="334" t="str">
        <f t="array" ref="EE400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494" t="str">
        <f t="array" ref="EF400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35" t="str">
        <f>IFERROR(IF('BHPC MANAGER'!$EE400="","",INDEX(inventory[ESISTENZA],MATCH('BHPC MANAGER'!$EE400,inventory[SKU],0))),0)</f>
        <v/>
      </c>
      <c r="EH400" s="336"/>
      <c r="EI400" s="336" t="str">
        <f t="shared" si="21"/>
        <v/>
      </c>
      <c r="EJ400" s="337"/>
      <c r="EK400" s="338" t="str">
        <f t="shared" si="22"/>
        <v/>
      </c>
    </row>
    <row r="401" spans="135:141" x14ac:dyDescent="0.35">
      <c r="EE401" s="329" t="str">
        <f t="array" ref="EE401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493" t="str">
        <f t="array" ref="EF401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30" t="str">
        <f>IFERROR(IF('BHPC MANAGER'!$EE401="","",INDEX(inventory[ESISTENZA],MATCH('BHPC MANAGER'!$EE401,inventory[SKU],0))),0)</f>
        <v/>
      </c>
      <c r="EH401" s="331"/>
      <c r="EI401" s="331" t="str">
        <f t="shared" si="21"/>
        <v/>
      </c>
      <c r="EJ401" s="332"/>
      <c r="EK401" s="333" t="str">
        <f t="shared" si="22"/>
        <v/>
      </c>
    </row>
    <row r="402" spans="135:141" x14ac:dyDescent="0.35">
      <c r="EE402" s="334" t="str">
        <f t="array" ref="EE402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494" t="str">
        <f t="array" ref="EF402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35" t="str">
        <f>IFERROR(IF('BHPC MANAGER'!$EE402="","",INDEX(inventory[ESISTENZA],MATCH('BHPC MANAGER'!$EE402,inventory[SKU],0))),0)</f>
        <v/>
      </c>
      <c r="EH402" s="336"/>
      <c r="EI402" s="336" t="str">
        <f t="shared" si="21"/>
        <v/>
      </c>
      <c r="EJ402" s="337"/>
      <c r="EK402" s="338" t="str">
        <f t="shared" si="22"/>
        <v/>
      </c>
    </row>
    <row r="403" spans="135:141" x14ac:dyDescent="0.35">
      <c r="EE403" s="329" t="str">
        <f t="array" ref="EE403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493" t="str">
        <f t="array" ref="EF403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30" t="str">
        <f>IFERROR(IF('BHPC MANAGER'!$EE403="","",INDEX(inventory[ESISTENZA],MATCH('BHPC MANAGER'!$EE403,inventory[SKU],0))),0)</f>
        <v/>
      </c>
      <c r="EH403" s="331"/>
      <c r="EI403" s="331" t="str">
        <f t="shared" si="21"/>
        <v/>
      </c>
      <c r="EJ403" s="332"/>
      <c r="EK403" s="333" t="str">
        <f t="shared" si="22"/>
        <v/>
      </c>
    </row>
    <row r="404" spans="135:141" x14ac:dyDescent="0.35">
      <c r="EE404" s="334" t="str">
        <f t="array" ref="EE404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494" t="str">
        <f t="array" ref="EF404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35" t="str">
        <f>IFERROR(IF('BHPC MANAGER'!$EE404="","",INDEX(inventory[ESISTENZA],MATCH('BHPC MANAGER'!$EE404,inventory[SKU],0))),0)</f>
        <v/>
      </c>
      <c r="EH404" s="336"/>
      <c r="EI404" s="336" t="str">
        <f t="shared" si="21"/>
        <v/>
      </c>
      <c r="EJ404" s="337"/>
      <c r="EK404" s="338" t="str">
        <f t="shared" si="22"/>
        <v/>
      </c>
    </row>
    <row r="405" spans="135:141" x14ac:dyDescent="0.35">
      <c r="EE405" s="329" t="str">
        <f t="array" ref="EE405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493" t="str">
        <f t="array" ref="EF405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30" t="str">
        <f>IFERROR(IF('BHPC MANAGER'!$EE405="","",INDEX(inventory[ESISTENZA],MATCH('BHPC MANAGER'!$EE405,inventory[SKU],0))),0)</f>
        <v/>
      </c>
      <c r="EH405" s="331"/>
      <c r="EI405" s="331" t="str">
        <f t="shared" si="21"/>
        <v/>
      </c>
      <c r="EJ405" s="332"/>
      <c r="EK405" s="333" t="str">
        <f t="shared" si="22"/>
        <v/>
      </c>
    </row>
    <row r="406" spans="135:141" x14ac:dyDescent="0.35">
      <c r="EE406" s="334" t="str">
        <f t="array" ref="EE406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494" t="str">
        <f t="array" ref="EF406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35" t="str">
        <f>IFERROR(IF('BHPC MANAGER'!$EE406="","",INDEX(inventory[ESISTENZA],MATCH('BHPC MANAGER'!$EE406,inventory[SKU],0))),0)</f>
        <v/>
      </c>
      <c r="EH406" s="336"/>
      <c r="EI406" s="336" t="str">
        <f t="shared" si="21"/>
        <v/>
      </c>
      <c r="EJ406" s="337"/>
      <c r="EK406" s="338" t="str">
        <f t="shared" si="22"/>
        <v/>
      </c>
    </row>
    <row r="407" spans="135:141" x14ac:dyDescent="0.35">
      <c r="EE407" s="329" t="str">
        <f t="array" ref="EE407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493" t="str">
        <f t="array" ref="EF407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30" t="str">
        <f>IFERROR(IF('BHPC MANAGER'!$EE407="","",INDEX(inventory[ESISTENZA],MATCH('BHPC MANAGER'!$EE407,inventory[SKU],0))),0)</f>
        <v/>
      </c>
      <c r="EH407" s="331"/>
      <c r="EI407" s="331" t="str">
        <f t="shared" si="21"/>
        <v/>
      </c>
      <c r="EJ407" s="332"/>
      <c r="EK407" s="333" t="str">
        <f t="shared" si="22"/>
        <v/>
      </c>
    </row>
    <row r="408" spans="135:141" x14ac:dyDescent="0.35">
      <c r="EE408" s="334" t="str">
        <f t="array" ref="EE408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494" t="str">
        <f t="array" ref="EF408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35" t="str">
        <f>IFERROR(IF('BHPC MANAGER'!$EE408="","",INDEX(inventory[ESISTENZA],MATCH('BHPC MANAGER'!$EE408,inventory[SKU],0))),0)</f>
        <v/>
      </c>
      <c r="EH408" s="336"/>
      <c r="EI408" s="336" t="str">
        <f t="shared" si="21"/>
        <v/>
      </c>
      <c r="EJ408" s="337"/>
      <c r="EK408" s="338" t="str">
        <f t="shared" si="22"/>
        <v/>
      </c>
    </row>
    <row r="409" spans="135:141" x14ac:dyDescent="0.35">
      <c r="EE409" s="329" t="str">
        <f t="array" ref="EE409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493" t="str">
        <f t="array" ref="EF409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30" t="str">
        <f>IFERROR(IF('BHPC MANAGER'!$EE409="","",INDEX(inventory[ESISTENZA],MATCH('BHPC MANAGER'!$EE409,inventory[SKU],0))),0)</f>
        <v/>
      </c>
      <c r="EH409" s="331"/>
      <c r="EI409" s="331" t="str">
        <f t="shared" si="21"/>
        <v/>
      </c>
      <c r="EJ409" s="332"/>
      <c r="EK409" s="333" t="str">
        <f t="shared" si="22"/>
        <v/>
      </c>
    </row>
    <row r="410" spans="135:141" x14ac:dyDescent="0.35">
      <c r="EE410" s="334" t="str">
        <f t="array" ref="EE410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494" t="str">
        <f t="array" ref="EF410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35" t="str">
        <f>IFERROR(IF('BHPC MANAGER'!$EE410="","",INDEX(inventory[ESISTENZA],MATCH('BHPC MANAGER'!$EE410,inventory[SKU],0))),0)</f>
        <v/>
      </c>
      <c r="EH410" s="336"/>
      <c r="EI410" s="336" t="str">
        <f t="shared" si="21"/>
        <v/>
      </c>
      <c r="EJ410" s="337"/>
      <c r="EK410" s="338" t="str">
        <f t="shared" si="22"/>
        <v/>
      </c>
    </row>
    <row r="411" spans="135:141" x14ac:dyDescent="0.35">
      <c r="EE411" s="329" t="str">
        <f t="array" ref="EE411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493" t="str">
        <f t="array" ref="EF411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30" t="str">
        <f>IFERROR(IF('BHPC MANAGER'!$EE411="","",INDEX(inventory[ESISTENZA],MATCH('BHPC MANAGER'!$EE411,inventory[SKU],0))),0)</f>
        <v/>
      </c>
      <c r="EH411" s="331"/>
      <c r="EI411" s="331" t="str">
        <f t="shared" si="21"/>
        <v/>
      </c>
      <c r="EJ411" s="332"/>
      <c r="EK411" s="333" t="str">
        <f t="shared" si="22"/>
        <v/>
      </c>
    </row>
    <row r="412" spans="135:141" x14ac:dyDescent="0.35">
      <c r="EE412" s="334" t="str">
        <f t="array" ref="EE412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494" t="str">
        <f t="array" ref="EF412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35" t="str">
        <f>IFERROR(IF('BHPC MANAGER'!$EE412="","",INDEX(inventory[ESISTENZA],MATCH('BHPC MANAGER'!$EE412,inventory[SKU],0))),0)</f>
        <v/>
      </c>
      <c r="EH412" s="336"/>
      <c r="EI412" s="336" t="str">
        <f t="shared" si="21"/>
        <v/>
      </c>
      <c r="EJ412" s="337"/>
      <c r="EK412" s="338" t="str">
        <f t="shared" si="22"/>
        <v/>
      </c>
    </row>
    <row r="413" spans="135:141" x14ac:dyDescent="0.35">
      <c r="EE413" s="329" t="str">
        <f t="array" ref="EE413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493" t="str">
        <f t="array" ref="EF413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30" t="str">
        <f>IFERROR(IF('BHPC MANAGER'!$EE413="","",INDEX(inventory[ESISTENZA],MATCH('BHPC MANAGER'!$EE413,inventory[SKU],0))),0)</f>
        <v/>
      </c>
      <c r="EH413" s="331"/>
      <c r="EI413" s="331" t="str">
        <f t="shared" si="21"/>
        <v/>
      </c>
      <c r="EJ413" s="332"/>
      <c r="EK413" s="333" t="str">
        <f t="shared" si="22"/>
        <v/>
      </c>
    </row>
    <row r="414" spans="135:141" x14ac:dyDescent="0.35">
      <c r="EE414" s="334" t="str">
        <f t="array" ref="EE414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494" t="str">
        <f t="array" ref="EF414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35" t="str">
        <f>IFERROR(IF('BHPC MANAGER'!$EE414="","",INDEX(inventory[ESISTENZA],MATCH('BHPC MANAGER'!$EE414,inventory[SKU],0))),0)</f>
        <v/>
      </c>
      <c r="EH414" s="336"/>
      <c r="EI414" s="336" t="str">
        <f t="shared" si="21"/>
        <v/>
      </c>
      <c r="EJ414" s="337"/>
      <c r="EK414" s="338" t="str">
        <f t="shared" si="22"/>
        <v/>
      </c>
    </row>
    <row r="415" spans="135:141" x14ac:dyDescent="0.35">
      <c r="EE415" s="329" t="str">
        <f t="array" ref="EE415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493" t="str">
        <f t="array" ref="EF415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30" t="str">
        <f>IFERROR(IF('BHPC MANAGER'!$EE415="","",INDEX(inventory[ESISTENZA],MATCH('BHPC MANAGER'!$EE415,inventory[SKU],0))),0)</f>
        <v/>
      </c>
      <c r="EH415" s="331"/>
      <c r="EI415" s="331" t="str">
        <f t="shared" si="21"/>
        <v/>
      </c>
      <c r="EJ415" s="332"/>
      <c r="EK415" s="333" t="str">
        <f t="shared" si="22"/>
        <v/>
      </c>
    </row>
    <row r="416" spans="135:141" x14ac:dyDescent="0.35">
      <c r="EE416" s="334" t="str">
        <f t="array" ref="EE416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494" t="str">
        <f t="array" ref="EF416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35" t="str">
        <f>IFERROR(IF('BHPC MANAGER'!$EE416="","",INDEX(inventory[ESISTENZA],MATCH('BHPC MANAGER'!$EE416,inventory[SKU],0))),0)</f>
        <v/>
      </c>
      <c r="EH416" s="336"/>
      <c r="EI416" s="336" t="str">
        <f t="shared" si="21"/>
        <v/>
      </c>
      <c r="EJ416" s="337"/>
      <c r="EK416" s="338" t="str">
        <f t="shared" si="22"/>
        <v/>
      </c>
    </row>
    <row r="417" spans="135:141" x14ac:dyDescent="0.35">
      <c r="EE417" s="329" t="str">
        <f t="array" ref="EE417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493" t="str">
        <f t="array" ref="EF417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30" t="str">
        <f>IFERROR(IF('BHPC MANAGER'!$EE417="","",INDEX(inventory[ESISTENZA],MATCH('BHPC MANAGER'!$EE417,inventory[SKU],0))),0)</f>
        <v/>
      </c>
      <c r="EH417" s="331"/>
      <c r="EI417" s="331" t="str">
        <f t="shared" si="21"/>
        <v/>
      </c>
      <c r="EJ417" s="332"/>
      <c r="EK417" s="333" t="str">
        <f t="shared" si="22"/>
        <v/>
      </c>
    </row>
    <row r="418" spans="135:141" x14ac:dyDescent="0.35">
      <c r="EE418" s="334" t="str">
        <f t="array" ref="EE418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494" t="str">
        <f t="array" ref="EF418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35" t="str">
        <f>IFERROR(IF('BHPC MANAGER'!$EE418="","",INDEX(inventory[ESISTENZA],MATCH('BHPC MANAGER'!$EE418,inventory[SKU],0))),0)</f>
        <v/>
      </c>
      <c r="EH418" s="336"/>
      <c r="EI418" s="336" t="str">
        <f t="shared" si="21"/>
        <v/>
      </c>
      <c r="EJ418" s="337"/>
      <c r="EK418" s="338" t="str">
        <f t="shared" si="22"/>
        <v/>
      </c>
    </row>
    <row r="419" spans="135:141" x14ac:dyDescent="0.35">
      <c r="EE419" s="329" t="str">
        <f t="array" ref="EE419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493" t="str">
        <f t="array" ref="EF419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30" t="str">
        <f>IFERROR(IF('BHPC MANAGER'!$EE419="","",INDEX(inventory[ESISTENZA],MATCH('BHPC MANAGER'!$EE419,inventory[SKU],0))),0)</f>
        <v/>
      </c>
      <c r="EH419" s="331"/>
      <c r="EI419" s="331" t="str">
        <f t="shared" si="21"/>
        <v/>
      </c>
      <c r="EJ419" s="332"/>
      <c r="EK419" s="333" t="str">
        <f t="shared" si="22"/>
        <v/>
      </c>
    </row>
    <row r="420" spans="135:141" x14ac:dyDescent="0.35">
      <c r="EE420" s="334" t="str">
        <f t="array" ref="EE420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494" t="str">
        <f t="array" ref="EF420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35" t="str">
        <f>IFERROR(IF('BHPC MANAGER'!$EE420="","",INDEX(inventory[ESISTENZA],MATCH('BHPC MANAGER'!$EE420,inventory[SKU],0))),0)</f>
        <v/>
      </c>
      <c r="EH420" s="336"/>
      <c r="EI420" s="336" t="str">
        <f t="shared" si="21"/>
        <v/>
      </c>
      <c r="EJ420" s="337"/>
      <c r="EK420" s="338" t="str">
        <f t="shared" si="22"/>
        <v/>
      </c>
    </row>
    <row r="421" spans="135:141" x14ac:dyDescent="0.35">
      <c r="EE421" s="329" t="str">
        <f t="array" ref="EE421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493" t="str">
        <f t="array" ref="EF421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30" t="str">
        <f>IFERROR(IF('BHPC MANAGER'!$EE421="","",INDEX(inventory[ESISTENZA],MATCH('BHPC MANAGER'!$EE421,inventory[SKU],0))),0)</f>
        <v/>
      </c>
      <c r="EH421" s="331"/>
      <c r="EI421" s="331" t="str">
        <f t="shared" si="21"/>
        <v/>
      </c>
      <c r="EJ421" s="332"/>
      <c r="EK421" s="333" t="str">
        <f t="shared" si="22"/>
        <v/>
      </c>
    </row>
    <row r="422" spans="135:141" x14ac:dyDescent="0.35">
      <c r="EE422" s="334" t="str">
        <f t="array" ref="EE422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494" t="str">
        <f t="array" ref="EF422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35" t="str">
        <f>IFERROR(IF('BHPC MANAGER'!$EE422="","",INDEX(inventory[ESISTENZA],MATCH('BHPC MANAGER'!$EE422,inventory[SKU],0))),0)</f>
        <v/>
      </c>
      <c r="EH422" s="336"/>
      <c r="EI422" s="336" t="str">
        <f t="shared" si="21"/>
        <v/>
      </c>
      <c r="EJ422" s="337"/>
      <c r="EK422" s="338" t="str">
        <f t="shared" si="22"/>
        <v/>
      </c>
    </row>
    <row r="423" spans="135:141" x14ac:dyDescent="0.35">
      <c r="EE423" s="329" t="str">
        <f t="array" ref="EE423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493" t="str">
        <f t="array" ref="EF423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30" t="str">
        <f>IFERROR(IF('BHPC MANAGER'!$EE423="","",INDEX(inventory[ESISTENZA],MATCH('BHPC MANAGER'!$EE423,inventory[SKU],0))),0)</f>
        <v/>
      </c>
      <c r="EH423" s="331"/>
      <c r="EI423" s="331" t="str">
        <f t="shared" si="21"/>
        <v/>
      </c>
      <c r="EJ423" s="332"/>
      <c r="EK423" s="333" t="str">
        <f t="shared" si="22"/>
        <v/>
      </c>
    </row>
    <row r="424" spans="135:141" x14ac:dyDescent="0.35">
      <c r="EE424" s="334" t="str">
        <f t="array" ref="EE424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494" t="str">
        <f t="array" ref="EF424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35" t="str">
        <f>IFERROR(IF('BHPC MANAGER'!$EE424="","",INDEX(inventory[ESISTENZA],MATCH('BHPC MANAGER'!$EE424,inventory[SKU],0))),0)</f>
        <v/>
      </c>
      <c r="EH424" s="336"/>
      <c r="EI424" s="336" t="str">
        <f t="shared" si="21"/>
        <v/>
      </c>
      <c r="EJ424" s="337"/>
      <c r="EK424" s="338" t="str">
        <f t="shared" si="22"/>
        <v/>
      </c>
    </row>
    <row r="425" spans="135:141" x14ac:dyDescent="0.35">
      <c r="EE425" s="329" t="str">
        <f t="array" ref="EE425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493" t="str">
        <f t="array" ref="EF425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30" t="str">
        <f>IFERROR(IF('BHPC MANAGER'!$EE425="","",INDEX(inventory[ESISTENZA],MATCH('BHPC MANAGER'!$EE425,inventory[SKU],0))),0)</f>
        <v/>
      </c>
      <c r="EH425" s="331"/>
      <c r="EI425" s="331" t="str">
        <f t="shared" si="21"/>
        <v/>
      </c>
      <c r="EJ425" s="332"/>
      <c r="EK425" s="333" t="str">
        <f t="shared" si="22"/>
        <v/>
      </c>
    </row>
    <row r="426" spans="135:141" x14ac:dyDescent="0.35">
      <c r="EE426" s="334" t="str">
        <f t="array" ref="EE426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494" t="str">
        <f t="array" ref="EF426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35" t="str">
        <f>IFERROR(IF('BHPC MANAGER'!$EE426="","",INDEX(inventory[ESISTENZA],MATCH('BHPC MANAGER'!$EE426,inventory[SKU],0))),0)</f>
        <v/>
      </c>
      <c r="EH426" s="336"/>
      <c r="EI426" s="336" t="str">
        <f t="shared" si="21"/>
        <v/>
      </c>
      <c r="EJ426" s="337"/>
      <c r="EK426" s="338" t="str">
        <f t="shared" si="22"/>
        <v/>
      </c>
    </row>
    <row r="427" spans="135:141" x14ac:dyDescent="0.35">
      <c r="EE427" s="329" t="str">
        <f t="array" ref="EE427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493" t="str">
        <f t="array" ref="EF427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30" t="str">
        <f>IFERROR(IF('BHPC MANAGER'!$EE427="","",INDEX(inventory[ESISTENZA],MATCH('BHPC MANAGER'!$EE427,inventory[SKU],0))),0)</f>
        <v/>
      </c>
      <c r="EH427" s="331"/>
      <c r="EI427" s="331" t="str">
        <f t="shared" si="21"/>
        <v/>
      </c>
      <c r="EJ427" s="332"/>
      <c r="EK427" s="333" t="str">
        <f t="shared" si="22"/>
        <v/>
      </c>
    </row>
    <row r="428" spans="135:141" x14ac:dyDescent="0.35">
      <c r="EE428" s="334" t="str">
        <f t="array" ref="EE428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494" t="str">
        <f t="array" ref="EF428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35" t="str">
        <f>IFERROR(IF('BHPC MANAGER'!$EE428="","",INDEX(inventory[ESISTENZA],MATCH('BHPC MANAGER'!$EE428,inventory[SKU],0))),0)</f>
        <v/>
      </c>
      <c r="EH428" s="336"/>
      <c r="EI428" s="336" t="str">
        <f t="shared" si="21"/>
        <v/>
      </c>
      <c r="EJ428" s="337"/>
      <c r="EK428" s="338" t="str">
        <f t="shared" si="22"/>
        <v/>
      </c>
    </row>
    <row r="429" spans="135:141" x14ac:dyDescent="0.35">
      <c r="EE429" s="329" t="str">
        <f t="array" ref="EE429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493" t="str">
        <f t="array" ref="EF429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30" t="str">
        <f>IFERROR(IF('BHPC MANAGER'!$EE429="","",INDEX(inventory[ESISTENZA],MATCH('BHPC MANAGER'!$EE429,inventory[SKU],0))),0)</f>
        <v/>
      </c>
      <c r="EH429" s="331"/>
      <c r="EI429" s="331" t="str">
        <f t="shared" si="21"/>
        <v/>
      </c>
      <c r="EJ429" s="332"/>
      <c r="EK429" s="333" t="str">
        <f t="shared" si="22"/>
        <v/>
      </c>
    </row>
    <row r="430" spans="135:141" x14ac:dyDescent="0.35">
      <c r="EE430" s="334" t="str">
        <f t="array" ref="EE430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494" t="str">
        <f t="array" ref="EF430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35" t="str">
        <f>IFERROR(IF('BHPC MANAGER'!$EE430="","",INDEX(inventory[ESISTENZA],MATCH('BHPC MANAGER'!$EE430,inventory[SKU],0))),0)</f>
        <v/>
      </c>
      <c r="EH430" s="336"/>
      <c r="EI430" s="336" t="str">
        <f t="shared" si="21"/>
        <v/>
      </c>
      <c r="EJ430" s="337"/>
      <c r="EK430" s="338" t="str">
        <f t="shared" si="22"/>
        <v/>
      </c>
    </row>
    <row r="431" spans="135:141" x14ac:dyDescent="0.35">
      <c r="EE431" s="329" t="str">
        <f t="array" ref="EE431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493" t="str">
        <f t="array" ref="EF431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30" t="str">
        <f>IFERROR(IF('BHPC MANAGER'!$EE431="","",INDEX(inventory[ESISTENZA],MATCH('BHPC MANAGER'!$EE431,inventory[SKU],0))),0)</f>
        <v/>
      </c>
      <c r="EH431" s="331"/>
      <c r="EI431" s="331" t="str">
        <f t="shared" si="21"/>
        <v/>
      </c>
      <c r="EJ431" s="332"/>
      <c r="EK431" s="333" t="str">
        <f t="shared" si="22"/>
        <v/>
      </c>
    </row>
    <row r="432" spans="135:141" x14ac:dyDescent="0.35">
      <c r="EE432" s="334" t="str">
        <f t="array" ref="EE432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494" t="str">
        <f t="array" ref="EF432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35" t="str">
        <f>IFERROR(IF('BHPC MANAGER'!$EE432="","",INDEX(inventory[ESISTENZA],MATCH('BHPC MANAGER'!$EE432,inventory[SKU],0))),0)</f>
        <v/>
      </c>
      <c r="EH432" s="336"/>
      <c r="EI432" s="336" t="str">
        <f t="shared" si="21"/>
        <v/>
      </c>
      <c r="EJ432" s="337"/>
      <c r="EK432" s="338" t="str">
        <f t="shared" si="22"/>
        <v/>
      </c>
    </row>
    <row r="433" spans="135:141" x14ac:dyDescent="0.35">
      <c r="EE433" s="329" t="str">
        <f t="array" ref="EE433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493" t="str">
        <f t="array" ref="EF433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30" t="str">
        <f>IFERROR(IF('BHPC MANAGER'!$EE433="","",INDEX(inventory[ESISTENZA],MATCH('BHPC MANAGER'!$EE433,inventory[SKU],0))),0)</f>
        <v/>
      </c>
      <c r="EH433" s="331"/>
      <c r="EI433" s="331" t="str">
        <f t="shared" si="21"/>
        <v/>
      </c>
      <c r="EJ433" s="332"/>
      <c r="EK433" s="333" t="str">
        <f t="shared" si="22"/>
        <v/>
      </c>
    </row>
    <row r="434" spans="135:141" x14ac:dyDescent="0.35">
      <c r="EE434" s="334" t="str">
        <f t="array" ref="EE434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494" t="str">
        <f t="array" ref="EF434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35" t="str">
        <f>IFERROR(IF('BHPC MANAGER'!$EE434="","",INDEX(inventory[ESISTENZA],MATCH('BHPC MANAGER'!$EE434,inventory[SKU],0))),0)</f>
        <v/>
      </c>
      <c r="EH434" s="336"/>
      <c r="EI434" s="336" t="str">
        <f t="shared" si="21"/>
        <v/>
      </c>
      <c r="EJ434" s="337"/>
      <c r="EK434" s="338" t="str">
        <f t="shared" si="22"/>
        <v/>
      </c>
    </row>
    <row r="435" spans="135:141" x14ac:dyDescent="0.35">
      <c r="EE435" s="329" t="str">
        <f t="array" ref="EE435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493" t="str">
        <f t="array" ref="EF435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30" t="str">
        <f>IFERROR(IF('BHPC MANAGER'!$EE435="","",INDEX(inventory[ESISTENZA],MATCH('BHPC MANAGER'!$EE435,inventory[SKU],0))),0)</f>
        <v/>
      </c>
      <c r="EH435" s="331"/>
      <c r="EI435" s="331" t="str">
        <f t="shared" si="21"/>
        <v/>
      </c>
      <c r="EJ435" s="332"/>
      <c r="EK435" s="333" t="str">
        <f t="shared" si="22"/>
        <v/>
      </c>
    </row>
    <row r="436" spans="135:141" x14ac:dyDescent="0.35">
      <c r="EE436" s="334" t="str">
        <f t="array" ref="EE436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494" t="str">
        <f t="array" ref="EF436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35" t="str">
        <f>IFERROR(IF('BHPC MANAGER'!$EE436="","",INDEX(inventory[ESISTENZA],MATCH('BHPC MANAGER'!$EE436,inventory[SKU],0))),0)</f>
        <v/>
      </c>
      <c r="EH436" s="336"/>
      <c r="EI436" s="336" t="str">
        <f t="shared" si="21"/>
        <v/>
      </c>
      <c r="EJ436" s="337"/>
      <c r="EK436" s="338" t="str">
        <f t="shared" si="22"/>
        <v/>
      </c>
    </row>
    <row r="437" spans="135:141" x14ac:dyDescent="0.35">
      <c r="EE437" s="329" t="str">
        <f t="array" ref="EE437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493" t="str">
        <f t="array" ref="EF437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30" t="str">
        <f>IFERROR(IF('BHPC MANAGER'!$EE437="","",INDEX(inventory[ESISTENZA],MATCH('BHPC MANAGER'!$EE437,inventory[SKU],0))),0)</f>
        <v/>
      </c>
      <c r="EH437" s="331"/>
      <c r="EI437" s="331" t="str">
        <f t="shared" si="21"/>
        <v/>
      </c>
      <c r="EJ437" s="332"/>
      <c r="EK437" s="333" t="str">
        <f t="shared" si="22"/>
        <v/>
      </c>
    </row>
    <row r="438" spans="135:141" x14ac:dyDescent="0.35">
      <c r="EE438" s="334" t="str">
        <f t="array" ref="EE438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494" t="str">
        <f t="array" ref="EF438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35" t="str">
        <f>IFERROR(IF('BHPC MANAGER'!$EE438="","",INDEX(inventory[ESISTENZA],MATCH('BHPC MANAGER'!$EE438,inventory[SKU],0))),0)</f>
        <v/>
      </c>
      <c r="EH438" s="336"/>
      <c r="EI438" s="336" t="str">
        <f t="shared" si="21"/>
        <v/>
      </c>
      <c r="EJ438" s="337"/>
      <c r="EK438" s="338" t="str">
        <f t="shared" si="22"/>
        <v/>
      </c>
    </row>
    <row r="439" spans="135:141" x14ac:dyDescent="0.35">
      <c r="EE439" s="329" t="str">
        <f t="array" ref="EE439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493" t="str">
        <f t="array" ref="EF439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30" t="str">
        <f>IFERROR(IF('BHPC MANAGER'!$EE439="","",INDEX(inventory[ESISTENZA],MATCH('BHPC MANAGER'!$EE439,inventory[SKU],0))),0)</f>
        <v/>
      </c>
      <c r="EH439" s="331"/>
      <c r="EI439" s="331" t="str">
        <f t="shared" si="21"/>
        <v/>
      </c>
      <c r="EJ439" s="332"/>
      <c r="EK439" s="333" t="str">
        <f t="shared" si="22"/>
        <v/>
      </c>
    </row>
    <row r="440" spans="135:141" x14ac:dyDescent="0.35">
      <c r="EE440" s="334" t="str">
        <f t="array" ref="EE440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494" t="str">
        <f t="array" ref="EF440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35" t="str">
        <f>IFERROR(IF('BHPC MANAGER'!$EE440="","",INDEX(inventory[ESISTENZA],MATCH('BHPC MANAGER'!$EE440,inventory[SKU],0))),0)</f>
        <v/>
      </c>
      <c r="EH440" s="336"/>
      <c r="EI440" s="336" t="str">
        <f t="shared" si="21"/>
        <v/>
      </c>
      <c r="EJ440" s="337"/>
      <c r="EK440" s="338" t="str">
        <f t="shared" si="22"/>
        <v/>
      </c>
    </row>
    <row r="441" spans="135:141" x14ac:dyDescent="0.35">
      <c r="EE441" s="329" t="str">
        <f t="array" ref="EE441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493" t="str">
        <f t="array" ref="EF441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30" t="str">
        <f>IFERROR(IF('BHPC MANAGER'!$EE441="","",INDEX(inventory[ESISTENZA],MATCH('BHPC MANAGER'!$EE441,inventory[SKU],0))),0)</f>
        <v/>
      </c>
      <c r="EH441" s="331"/>
      <c r="EI441" s="331" t="str">
        <f t="shared" si="21"/>
        <v/>
      </c>
      <c r="EJ441" s="332"/>
      <c r="EK441" s="333" t="str">
        <f t="shared" si="22"/>
        <v/>
      </c>
    </row>
    <row r="442" spans="135:141" x14ac:dyDescent="0.35">
      <c r="EE442" s="334" t="str">
        <f t="array" ref="EE442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494" t="str">
        <f t="array" ref="EF442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35" t="str">
        <f>IFERROR(IF('BHPC MANAGER'!$EE442="","",INDEX(inventory[ESISTENZA],MATCH('BHPC MANAGER'!$EE442,inventory[SKU],0))),0)</f>
        <v/>
      </c>
      <c r="EH442" s="336"/>
      <c r="EI442" s="336" t="str">
        <f t="shared" si="21"/>
        <v/>
      </c>
      <c r="EJ442" s="337"/>
      <c r="EK442" s="338" t="str">
        <f t="shared" si="22"/>
        <v/>
      </c>
    </row>
    <row r="443" spans="135:141" x14ac:dyDescent="0.35">
      <c r="EE443" s="329" t="str">
        <f t="array" ref="EE443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493" t="str">
        <f t="array" ref="EF443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30" t="str">
        <f>IFERROR(IF('BHPC MANAGER'!$EE443="","",INDEX(inventory[ESISTENZA],MATCH('BHPC MANAGER'!$EE443,inventory[SKU],0))),0)</f>
        <v/>
      </c>
      <c r="EH443" s="331"/>
      <c r="EI443" s="331" t="str">
        <f t="shared" si="21"/>
        <v/>
      </c>
      <c r="EJ443" s="332"/>
      <c r="EK443" s="333" t="str">
        <f t="shared" si="22"/>
        <v/>
      </c>
    </row>
    <row r="444" spans="135:141" x14ac:dyDescent="0.35">
      <c r="EE444" s="334" t="str">
        <f t="array" ref="EE444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494" t="str">
        <f t="array" ref="EF444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35" t="str">
        <f>IFERROR(IF('BHPC MANAGER'!$EE444="","",INDEX(inventory[ESISTENZA],MATCH('BHPC MANAGER'!$EE444,inventory[SKU],0))),0)</f>
        <v/>
      </c>
      <c r="EH444" s="336"/>
      <c r="EI444" s="336" t="str">
        <f t="shared" si="21"/>
        <v/>
      </c>
      <c r="EJ444" s="337"/>
      <c r="EK444" s="338" t="str">
        <f t="shared" si="22"/>
        <v/>
      </c>
    </row>
    <row r="445" spans="135:141" x14ac:dyDescent="0.35">
      <c r="EE445" s="329" t="str">
        <f t="array" ref="EE445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493" t="str">
        <f t="array" ref="EF445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30" t="str">
        <f>IFERROR(IF('BHPC MANAGER'!$EE445="","",INDEX(inventory[ESISTENZA],MATCH('BHPC MANAGER'!$EE445,inventory[SKU],0))),0)</f>
        <v/>
      </c>
      <c r="EH445" s="331"/>
      <c r="EI445" s="331" t="str">
        <f t="shared" si="21"/>
        <v/>
      </c>
      <c r="EJ445" s="332"/>
      <c r="EK445" s="333" t="str">
        <f t="shared" si="22"/>
        <v/>
      </c>
    </row>
    <row r="446" spans="135:141" x14ac:dyDescent="0.35">
      <c r="EE446" s="334" t="str">
        <f t="array" ref="EE446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494" t="str">
        <f t="array" ref="EF446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35" t="str">
        <f>IFERROR(IF('BHPC MANAGER'!$EE446="","",INDEX(inventory[ESISTENZA],MATCH('BHPC MANAGER'!$EE446,inventory[SKU],0))),0)</f>
        <v/>
      </c>
      <c r="EH446" s="336"/>
      <c r="EI446" s="336" t="str">
        <f t="shared" si="21"/>
        <v/>
      </c>
      <c r="EJ446" s="337"/>
      <c r="EK446" s="338" t="str">
        <f t="shared" si="22"/>
        <v/>
      </c>
    </row>
    <row r="447" spans="135:141" x14ac:dyDescent="0.35">
      <c r="EE447" s="329" t="str">
        <f t="array" ref="EE447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493" t="str">
        <f t="array" ref="EF447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30" t="str">
        <f>IFERROR(IF('BHPC MANAGER'!$EE447="","",INDEX(inventory[ESISTENZA],MATCH('BHPC MANAGER'!$EE447,inventory[SKU],0))),0)</f>
        <v/>
      </c>
      <c r="EH447" s="331"/>
      <c r="EI447" s="331" t="str">
        <f t="shared" si="21"/>
        <v/>
      </c>
      <c r="EJ447" s="332"/>
      <c r="EK447" s="333" t="str">
        <f t="shared" si="22"/>
        <v/>
      </c>
    </row>
    <row r="448" spans="135:141" x14ac:dyDescent="0.35">
      <c r="EE448" s="334" t="str">
        <f t="array" ref="EE448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494" t="str">
        <f t="array" ref="EF448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35" t="str">
        <f>IFERROR(IF('BHPC MANAGER'!$EE448="","",INDEX(inventory[ESISTENZA],MATCH('BHPC MANAGER'!$EE448,inventory[SKU],0))),0)</f>
        <v/>
      </c>
      <c r="EH448" s="336"/>
      <c r="EI448" s="336" t="str">
        <f t="shared" si="21"/>
        <v/>
      </c>
      <c r="EJ448" s="337"/>
      <c r="EK448" s="338" t="str">
        <f t="shared" si="22"/>
        <v/>
      </c>
    </row>
    <row r="449" spans="135:141" x14ac:dyDescent="0.35">
      <c r="EE449" s="329" t="str">
        <f t="array" ref="EE449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493" t="str">
        <f t="array" ref="EF449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30" t="str">
        <f>IFERROR(IF('BHPC MANAGER'!$EE449="","",INDEX(inventory[ESISTENZA],MATCH('BHPC MANAGER'!$EE449,inventory[SKU],0))),0)</f>
        <v/>
      </c>
      <c r="EH449" s="331"/>
      <c r="EI449" s="331" t="str">
        <f t="shared" si="21"/>
        <v/>
      </c>
      <c r="EJ449" s="332"/>
      <c r="EK449" s="333" t="str">
        <f t="shared" si="22"/>
        <v/>
      </c>
    </row>
    <row r="450" spans="135:141" x14ac:dyDescent="0.35">
      <c r="EE450" s="334" t="str">
        <f t="array" ref="EE450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494" t="str">
        <f t="array" ref="EF450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35" t="str">
        <f>IFERROR(IF('BHPC MANAGER'!$EE450="","",INDEX(inventory[ESISTENZA],MATCH('BHPC MANAGER'!$EE450,inventory[SKU],0))),0)</f>
        <v/>
      </c>
      <c r="EH450" s="336"/>
      <c r="EI450" s="336" t="str">
        <f t="shared" si="21"/>
        <v/>
      </c>
      <c r="EJ450" s="337"/>
      <c r="EK450" s="338" t="str">
        <f t="shared" si="22"/>
        <v/>
      </c>
    </row>
    <row r="451" spans="135:141" x14ac:dyDescent="0.35">
      <c r="EE451" s="329" t="str">
        <f t="array" ref="EE451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493" t="str">
        <f t="array" ref="EF451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30" t="str">
        <f>IFERROR(IF('BHPC MANAGER'!$EE451="","",INDEX(inventory[ESISTENZA],MATCH('BHPC MANAGER'!$EE451,inventory[SKU],0))),0)</f>
        <v/>
      </c>
      <c r="EH451" s="331"/>
      <c r="EI451" s="331" t="str">
        <f t="shared" si="21"/>
        <v/>
      </c>
      <c r="EJ451" s="332"/>
      <c r="EK451" s="333" t="str">
        <f t="shared" si="22"/>
        <v/>
      </c>
    </row>
    <row r="452" spans="135:141" x14ac:dyDescent="0.35">
      <c r="EE452" s="334" t="str">
        <f t="array" ref="EE452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494" t="str">
        <f t="array" ref="EF452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35" t="str">
        <f>IFERROR(IF('BHPC MANAGER'!$EE452="","",INDEX(inventory[ESISTENZA],MATCH('BHPC MANAGER'!$EE452,inventory[SKU],0))),0)</f>
        <v/>
      </c>
      <c r="EH452" s="336"/>
      <c r="EI452" s="336" t="str">
        <f t="shared" si="21"/>
        <v/>
      </c>
      <c r="EJ452" s="337"/>
      <c r="EK452" s="338" t="str">
        <f t="shared" si="22"/>
        <v/>
      </c>
    </row>
    <row r="453" spans="135:141" x14ac:dyDescent="0.35">
      <c r="EE453" s="329" t="str">
        <f t="array" ref="EE453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493" t="str">
        <f t="array" ref="EF453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30" t="str">
        <f>IFERROR(IF('BHPC MANAGER'!$EE453="","",INDEX(inventory[ESISTENZA],MATCH('BHPC MANAGER'!$EE453,inventory[SKU],0))),0)</f>
        <v/>
      </c>
      <c r="EH453" s="331"/>
      <c r="EI453" s="331" t="str">
        <f t="shared" si="21"/>
        <v/>
      </c>
      <c r="EJ453" s="332"/>
      <c r="EK453" s="333" t="str">
        <f t="shared" si="22"/>
        <v/>
      </c>
    </row>
    <row r="454" spans="135:141" x14ac:dyDescent="0.35">
      <c r="EE454" s="334" t="str">
        <f t="array" ref="EE454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494" t="str">
        <f t="array" ref="EF454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35" t="str">
        <f>IFERROR(IF('BHPC MANAGER'!$EE454="","",INDEX(inventory[ESISTENZA],MATCH('BHPC MANAGER'!$EE454,inventory[SKU],0))),0)</f>
        <v/>
      </c>
      <c r="EH454" s="336"/>
      <c r="EI454" s="336" t="str">
        <f t="shared" si="21"/>
        <v/>
      </c>
      <c r="EJ454" s="337"/>
      <c r="EK454" s="338" t="str">
        <f t="shared" si="22"/>
        <v/>
      </c>
    </row>
    <row r="455" spans="135:141" x14ac:dyDescent="0.35">
      <c r="EE455" s="329" t="str">
        <f t="array" ref="EE455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493" t="str">
        <f t="array" ref="EF455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30" t="str">
        <f>IFERROR(IF('BHPC MANAGER'!$EE455="","",INDEX(inventory[ESISTENZA],MATCH('BHPC MANAGER'!$EE455,inventory[SKU],0))),0)</f>
        <v/>
      </c>
      <c r="EH455" s="331"/>
      <c r="EI455" s="331" t="str">
        <f t="shared" si="21"/>
        <v/>
      </c>
      <c r="EJ455" s="332"/>
      <c r="EK455" s="333" t="str">
        <f t="shared" si="22"/>
        <v/>
      </c>
    </row>
    <row r="456" spans="135:141" x14ac:dyDescent="0.35">
      <c r="EE456" s="334" t="str">
        <f t="array" ref="EE456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494" t="str">
        <f t="array" ref="EF456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35" t="str">
        <f>IFERROR(IF('BHPC MANAGER'!$EE456="","",INDEX(inventory[ESISTENZA],MATCH('BHPC MANAGER'!$EE456,inventory[SKU],0))),0)</f>
        <v/>
      </c>
      <c r="EH456" s="336"/>
      <c r="EI456" s="336" t="str">
        <f t="shared" si="21"/>
        <v/>
      </c>
      <c r="EJ456" s="337"/>
      <c r="EK456" s="338" t="str">
        <f t="shared" si="22"/>
        <v/>
      </c>
    </row>
    <row r="457" spans="135:141" x14ac:dyDescent="0.35">
      <c r="EE457" s="329" t="str">
        <f t="array" ref="EE457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493" t="str">
        <f t="array" ref="EF457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30" t="str">
        <f>IFERROR(IF('BHPC MANAGER'!$EE457="","",INDEX(inventory[ESISTENZA],MATCH('BHPC MANAGER'!$EE457,inventory[SKU],0))),0)</f>
        <v/>
      </c>
      <c r="EH457" s="331"/>
      <c r="EI457" s="331" t="str">
        <f t="shared" ref="EI457:EI500" si="23">IF(EE457="","",IFERROR(EG457+EH457,EG457))</f>
        <v/>
      </c>
      <c r="EJ457" s="332"/>
      <c r="EK457" s="333" t="str">
        <f t="shared" ref="EK457:EK500" si="24">IF(EE457="","",IFERROR(EI457+EJ457,EI457))</f>
        <v/>
      </c>
    </row>
    <row r="458" spans="135:141" x14ac:dyDescent="0.35">
      <c r="EE458" s="334" t="str">
        <f t="array" ref="EE458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494" t="str">
        <f t="array" ref="EF458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35" t="str">
        <f>IFERROR(IF('BHPC MANAGER'!$EE458="","",INDEX(inventory[ESISTENZA],MATCH('BHPC MANAGER'!$EE458,inventory[SKU],0))),0)</f>
        <v/>
      </c>
      <c r="EH458" s="336"/>
      <c r="EI458" s="336" t="str">
        <f t="shared" si="23"/>
        <v/>
      </c>
      <c r="EJ458" s="337"/>
      <c r="EK458" s="338" t="str">
        <f t="shared" si="24"/>
        <v/>
      </c>
    </row>
    <row r="459" spans="135:141" x14ac:dyDescent="0.35">
      <c r="EE459" s="329" t="str">
        <f t="array" ref="EE459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493" t="str">
        <f t="array" ref="EF459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30" t="str">
        <f>IFERROR(IF('BHPC MANAGER'!$EE459="","",INDEX(inventory[ESISTENZA],MATCH('BHPC MANAGER'!$EE459,inventory[SKU],0))),0)</f>
        <v/>
      </c>
      <c r="EH459" s="331"/>
      <c r="EI459" s="331" t="str">
        <f t="shared" si="23"/>
        <v/>
      </c>
      <c r="EJ459" s="332"/>
      <c r="EK459" s="333" t="str">
        <f t="shared" si="24"/>
        <v/>
      </c>
    </row>
    <row r="460" spans="135:141" x14ac:dyDescent="0.35">
      <c r="EE460" s="334" t="str">
        <f t="array" ref="EE460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494" t="str">
        <f t="array" ref="EF460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35" t="str">
        <f>IFERROR(IF('BHPC MANAGER'!$EE460="","",INDEX(inventory[ESISTENZA],MATCH('BHPC MANAGER'!$EE460,inventory[SKU],0))),0)</f>
        <v/>
      </c>
      <c r="EH460" s="336"/>
      <c r="EI460" s="336" t="str">
        <f t="shared" si="23"/>
        <v/>
      </c>
      <c r="EJ460" s="337"/>
      <c r="EK460" s="338" t="str">
        <f t="shared" si="24"/>
        <v/>
      </c>
    </row>
    <row r="461" spans="135:141" x14ac:dyDescent="0.35">
      <c r="EE461" s="329" t="str">
        <f t="array" ref="EE461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493" t="str">
        <f t="array" ref="EF461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30" t="str">
        <f>IFERROR(IF('BHPC MANAGER'!$EE461="","",INDEX(inventory[ESISTENZA],MATCH('BHPC MANAGER'!$EE461,inventory[SKU],0))),0)</f>
        <v/>
      </c>
      <c r="EH461" s="331"/>
      <c r="EI461" s="331" t="str">
        <f t="shared" si="23"/>
        <v/>
      </c>
      <c r="EJ461" s="332"/>
      <c r="EK461" s="333" t="str">
        <f t="shared" si="24"/>
        <v/>
      </c>
    </row>
    <row r="462" spans="135:141" x14ac:dyDescent="0.35">
      <c r="EE462" s="334" t="str">
        <f t="array" ref="EE462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494" t="str">
        <f t="array" ref="EF462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35" t="str">
        <f>IFERROR(IF('BHPC MANAGER'!$EE462="","",INDEX(inventory[ESISTENZA],MATCH('BHPC MANAGER'!$EE462,inventory[SKU],0))),0)</f>
        <v/>
      </c>
      <c r="EH462" s="336"/>
      <c r="EI462" s="336" t="str">
        <f t="shared" si="23"/>
        <v/>
      </c>
      <c r="EJ462" s="337"/>
      <c r="EK462" s="338" t="str">
        <f t="shared" si="24"/>
        <v/>
      </c>
    </row>
    <row r="463" spans="135:141" x14ac:dyDescent="0.35">
      <c r="EE463" s="329" t="str">
        <f t="array" ref="EE463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493" t="str">
        <f t="array" ref="EF463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30" t="str">
        <f>IFERROR(IF('BHPC MANAGER'!$EE463="","",INDEX(inventory[ESISTENZA],MATCH('BHPC MANAGER'!$EE463,inventory[SKU],0))),0)</f>
        <v/>
      </c>
      <c r="EH463" s="331"/>
      <c r="EI463" s="331" t="str">
        <f t="shared" si="23"/>
        <v/>
      </c>
      <c r="EJ463" s="332"/>
      <c r="EK463" s="333" t="str">
        <f t="shared" si="24"/>
        <v/>
      </c>
    </row>
    <row r="464" spans="135:141" x14ac:dyDescent="0.35">
      <c r="EE464" s="334" t="str">
        <f t="array" ref="EE464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494" t="str">
        <f t="array" ref="EF464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35" t="str">
        <f>IFERROR(IF('BHPC MANAGER'!$EE464="","",INDEX(inventory[ESISTENZA],MATCH('BHPC MANAGER'!$EE464,inventory[SKU],0))),0)</f>
        <v/>
      </c>
      <c r="EH464" s="336"/>
      <c r="EI464" s="336" t="str">
        <f t="shared" si="23"/>
        <v/>
      </c>
      <c r="EJ464" s="337"/>
      <c r="EK464" s="338" t="str">
        <f t="shared" si="24"/>
        <v/>
      </c>
    </row>
    <row r="465" spans="135:141" x14ac:dyDescent="0.35">
      <c r="EE465" s="329" t="str">
        <f t="array" ref="EE465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493" t="str">
        <f t="array" ref="EF465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30" t="str">
        <f>IFERROR(IF('BHPC MANAGER'!$EE465="","",INDEX(inventory[ESISTENZA],MATCH('BHPC MANAGER'!$EE465,inventory[SKU],0))),0)</f>
        <v/>
      </c>
      <c r="EH465" s="331"/>
      <c r="EI465" s="331" t="str">
        <f t="shared" si="23"/>
        <v/>
      </c>
      <c r="EJ465" s="332"/>
      <c r="EK465" s="333" t="str">
        <f t="shared" si="24"/>
        <v/>
      </c>
    </row>
    <row r="466" spans="135:141" x14ac:dyDescent="0.35">
      <c r="EE466" s="334" t="str">
        <f t="array" ref="EE466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494" t="str">
        <f t="array" ref="EF466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35" t="str">
        <f>IFERROR(IF('BHPC MANAGER'!$EE466="","",INDEX(inventory[ESISTENZA],MATCH('BHPC MANAGER'!$EE466,inventory[SKU],0))),0)</f>
        <v/>
      </c>
      <c r="EH466" s="336"/>
      <c r="EI466" s="336" t="str">
        <f t="shared" si="23"/>
        <v/>
      </c>
      <c r="EJ466" s="337"/>
      <c r="EK466" s="338" t="str">
        <f t="shared" si="24"/>
        <v/>
      </c>
    </row>
    <row r="467" spans="135:141" x14ac:dyDescent="0.35">
      <c r="EE467" s="329" t="str">
        <f t="array" ref="EE467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493" t="str">
        <f t="array" ref="EF467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30" t="str">
        <f>IFERROR(IF('BHPC MANAGER'!$EE467="","",INDEX(inventory[ESISTENZA],MATCH('BHPC MANAGER'!$EE467,inventory[SKU],0))),0)</f>
        <v/>
      </c>
      <c r="EH467" s="331"/>
      <c r="EI467" s="331" t="str">
        <f t="shared" si="23"/>
        <v/>
      </c>
      <c r="EJ467" s="332"/>
      <c r="EK467" s="333" t="str">
        <f t="shared" si="24"/>
        <v/>
      </c>
    </row>
    <row r="468" spans="135:141" x14ac:dyDescent="0.35">
      <c r="EE468" s="334" t="str">
        <f t="array" ref="EE468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494" t="str">
        <f t="array" ref="EF468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35" t="str">
        <f>IFERROR(IF('BHPC MANAGER'!$EE468="","",INDEX(inventory[ESISTENZA],MATCH('BHPC MANAGER'!$EE468,inventory[SKU],0))),0)</f>
        <v/>
      </c>
      <c r="EH468" s="336"/>
      <c r="EI468" s="336" t="str">
        <f t="shared" si="23"/>
        <v/>
      </c>
      <c r="EJ468" s="337"/>
      <c r="EK468" s="338" t="str">
        <f t="shared" si="24"/>
        <v/>
      </c>
    </row>
    <row r="469" spans="135:141" x14ac:dyDescent="0.35">
      <c r="EE469" s="329" t="str">
        <f t="array" ref="EE469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493" t="str">
        <f t="array" ref="EF469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30" t="str">
        <f>IFERROR(IF('BHPC MANAGER'!$EE469="","",INDEX(inventory[ESISTENZA],MATCH('BHPC MANAGER'!$EE469,inventory[SKU],0))),0)</f>
        <v/>
      </c>
      <c r="EH469" s="331"/>
      <c r="EI469" s="331" t="str">
        <f t="shared" si="23"/>
        <v/>
      </c>
      <c r="EJ469" s="332"/>
      <c r="EK469" s="333" t="str">
        <f t="shared" si="24"/>
        <v/>
      </c>
    </row>
    <row r="470" spans="135:141" x14ac:dyDescent="0.35">
      <c r="EE470" s="334" t="str">
        <f t="array" ref="EE470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494" t="str">
        <f t="array" ref="EF470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35" t="str">
        <f>IFERROR(IF('BHPC MANAGER'!$EE470="","",INDEX(inventory[ESISTENZA],MATCH('BHPC MANAGER'!$EE470,inventory[SKU],0))),0)</f>
        <v/>
      </c>
      <c r="EH470" s="336"/>
      <c r="EI470" s="336" t="str">
        <f t="shared" si="23"/>
        <v/>
      </c>
      <c r="EJ470" s="337"/>
      <c r="EK470" s="338" t="str">
        <f t="shared" si="24"/>
        <v/>
      </c>
    </row>
    <row r="471" spans="135:141" x14ac:dyDescent="0.35">
      <c r="EE471" s="329" t="str">
        <f t="array" ref="EE471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493" t="str">
        <f t="array" ref="EF471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30" t="str">
        <f>IFERROR(IF('BHPC MANAGER'!$EE471="","",INDEX(inventory[ESISTENZA],MATCH('BHPC MANAGER'!$EE471,inventory[SKU],0))),0)</f>
        <v/>
      </c>
      <c r="EH471" s="331"/>
      <c r="EI471" s="331" t="str">
        <f t="shared" si="23"/>
        <v/>
      </c>
      <c r="EJ471" s="332"/>
      <c r="EK471" s="333" t="str">
        <f t="shared" si="24"/>
        <v/>
      </c>
    </row>
    <row r="472" spans="135:141" x14ac:dyDescent="0.35">
      <c r="EE472" s="334" t="str">
        <f t="array" ref="EE472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494" t="str">
        <f t="array" ref="EF472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35" t="str">
        <f>IFERROR(IF('BHPC MANAGER'!$EE472="","",INDEX(inventory[ESISTENZA],MATCH('BHPC MANAGER'!$EE472,inventory[SKU],0))),0)</f>
        <v/>
      </c>
      <c r="EH472" s="336"/>
      <c r="EI472" s="336" t="str">
        <f t="shared" si="23"/>
        <v/>
      </c>
      <c r="EJ472" s="337"/>
      <c r="EK472" s="338" t="str">
        <f t="shared" si="24"/>
        <v/>
      </c>
    </row>
    <row r="473" spans="135:141" x14ac:dyDescent="0.35">
      <c r="EE473" s="329" t="str">
        <f t="array" ref="EE473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493" t="str">
        <f t="array" ref="EF473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30" t="str">
        <f>IFERROR(IF('BHPC MANAGER'!$EE473="","",INDEX(inventory[ESISTENZA],MATCH('BHPC MANAGER'!$EE473,inventory[SKU],0))),0)</f>
        <v/>
      </c>
      <c r="EH473" s="331"/>
      <c r="EI473" s="331" t="str">
        <f t="shared" si="23"/>
        <v/>
      </c>
      <c r="EJ473" s="332"/>
      <c r="EK473" s="333" t="str">
        <f t="shared" si="24"/>
        <v/>
      </c>
    </row>
    <row r="474" spans="135:141" x14ac:dyDescent="0.35">
      <c r="EE474" s="334" t="str">
        <f t="array" ref="EE474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494" t="str">
        <f t="array" ref="EF474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35" t="str">
        <f>IFERROR(IF('BHPC MANAGER'!$EE474="","",INDEX(inventory[ESISTENZA],MATCH('BHPC MANAGER'!$EE474,inventory[SKU],0))),0)</f>
        <v/>
      </c>
      <c r="EH474" s="336"/>
      <c r="EI474" s="336" t="str">
        <f t="shared" si="23"/>
        <v/>
      </c>
      <c r="EJ474" s="337"/>
      <c r="EK474" s="338" t="str">
        <f t="shared" si="24"/>
        <v/>
      </c>
    </row>
    <row r="475" spans="135:141" x14ac:dyDescent="0.35">
      <c r="EE475" s="329" t="str">
        <f t="array" ref="EE475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493" t="str">
        <f t="array" ref="EF475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30" t="str">
        <f>IFERROR(IF('BHPC MANAGER'!$EE475="","",INDEX(inventory[ESISTENZA],MATCH('BHPC MANAGER'!$EE475,inventory[SKU],0))),0)</f>
        <v/>
      </c>
      <c r="EH475" s="331"/>
      <c r="EI475" s="331" t="str">
        <f t="shared" si="23"/>
        <v/>
      </c>
      <c r="EJ475" s="332"/>
      <c r="EK475" s="333" t="str">
        <f t="shared" si="24"/>
        <v/>
      </c>
    </row>
    <row r="476" spans="135:141" x14ac:dyDescent="0.35">
      <c r="EE476" s="334" t="str">
        <f t="array" ref="EE476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494" t="str">
        <f t="array" ref="EF476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35" t="str">
        <f>IFERROR(IF('BHPC MANAGER'!$EE476="","",INDEX(inventory[ESISTENZA],MATCH('BHPC MANAGER'!$EE476,inventory[SKU],0))),0)</f>
        <v/>
      </c>
      <c r="EH476" s="336"/>
      <c r="EI476" s="336" t="str">
        <f t="shared" si="23"/>
        <v/>
      </c>
      <c r="EJ476" s="337"/>
      <c r="EK476" s="338" t="str">
        <f t="shared" si="24"/>
        <v/>
      </c>
    </row>
    <row r="477" spans="135:141" x14ac:dyDescent="0.35">
      <c r="EE477" s="329" t="str">
        <f t="array" ref="EE477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493" t="str">
        <f t="array" ref="EF477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30" t="str">
        <f>IFERROR(IF('BHPC MANAGER'!$EE477="","",INDEX(inventory[ESISTENZA],MATCH('BHPC MANAGER'!$EE477,inventory[SKU],0))),0)</f>
        <v/>
      </c>
      <c r="EH477" s="331"/>
      <c r="EI477" s="331" t="str">
        <f t="shared" si="23"/>
        <v/>
      </c>
      <c r="EJ477" s="332"/>
      <c r="EK477" s="333" t="str">
        <f t="shared" si="24"/>
        <v/>
      </c>
    </row>
    <row r="478" spans="135:141" x14ac:dyDescent="0.35">
      <c r="EE478" s="334" t="str">
        <f t="array" ref="EE478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494" t="str">
        <f t="array" ref="EF478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35" t="str">
        <f>IFERROR(IF('BHPC MANAGER'!$EE478="","",INDEX(inventory[ESISTENZA],MATCH('BHPC MANAGER'!$EE478,inventory[SKU],0))),0)</f>
        <v/>
      </c>
      <c r="EH478" s="336"/>
      <c r="EI478" s="336" t="str">
        <f t="shared" si="23"/>
        <v/>
      </c>
      <c r="EJ478" s="337"/>
      <c r="EK478" s="338" t="str">
        <f t="shared" si="24"/>
        <v/>
      </c>
    </row>
    <row r="479" spans="135:141" x14ac:dyDescent="0.35">
      <c r="EE479" s="329" t="str">
        <f t="array" ref="EE479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493" t="str">
        <f t="array" ref="EF479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30" t="str">
        <f>IFERROR(IF('BHPC MANAGER'!$EE479="","",INDEX(inventory[ESISTENZA],MATCH('BHPC MANAGER'!$EE479,inventory[SKU],0))),0)</f>
        <v/>
      </c>
      <c r="EH479" s="331"/>
      <c r="EI479" s="331" t="str">
        <f t="shared" si="23"/>
        <v/>
      </c>
      <c r="EJ479" s="332"/>
      <c r="EK479" s="333" t="str">
        <f t="shared" si="24"/>
        <v/>
      </c>
    </row>
    <row r="480" spans="135:141" x14ac:dyDescent="0.35">
      <c r="EE480" s="334" t="str">
        <f t="array" ref="EE480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494" t="str">
        <f t="array" ref="EF480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35" t="str">
        <f>IFERROR(IF('BHPC MANAGER'!$EE480="","",INDEX(inventory[ESISTENZA],MATCH('BHPC MANAGER'!$EE480,inventory[SKU],0))),0)</f>
        <v/>
      </c>
      <c r="EH480" s="336"/>
      <c r="EI480" s="336" t="str">
        <f t="shared" si="23"/>
        <v/>
      </c>
      <c r="EJ480" s="337"/>
      <c r="EK480" s="338" t="str">
        <f t="shared" si="24"/>
        <v/>
      </c>
    </row>
    <row r="481" spans="135:141" x14ac:dyDescent="0.35">
      <c r="EE481" s="329" t="str">
        <f t="array" ref="EE481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493" t="str">
        <f t="array" ref="EF481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30" t="str">
        <f>IFERROR(IF('BHPC MANAGER'!$EE481="","",INDEX(inventory[ESISTENZA],MATCH('BHPC MANAGER'!$EE481,inventory[SKU],0))),0)</f>
        <v/>
      </c>
      <c r="EH481" s="331"/>
      <c r="EI481" s="331" t="str">
        <f t="shared" si="23"/>
        <v/>
      </c>
      <c r="EJ481" s="332"/>
      <c r="EK481" s="333" t="str">
        <f t="shared" si="24"/>
        <v/>
      </c>
    </row>
    <row r="482" spans="135:141" x14ac:dyDescent="0.35">
      <c r="EE482" s="334" t="str">
        <f t="array" ref="EE482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494" t="str">
        <f t="array" ref="EF482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35" t="str">
        <f>IFERROR(IF('BHPC MANAGER'!$EE482="","",INDEX(inventory[ESISTENZA],MATCH('BHPC MANAGER'!$EE482,inventory[SKU],0))),0)</f>
        <v/>
      </c>
      <c r="EH482" s="336"/>
      <c r="EI482" s="336" t="str">
        <f t="shared" si="23"/>
        <v/>
      </c>
      <c r="EJ482" s="337"/>
      <c r="EK482" s="338" t="str">
        <f t="shared" si="24"/>
        <v/>
      </c>
    </row>
    <row r="483" spans="135:141" x14ac:dyDescent="0.35">
      <c r="EE483" s="329" t="str">
        <f t="array" ref="EE483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493" t="str">
        <f t="array" ref="EF483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30" t="str">
        <f>IFERROR(IF('BHPC MANAGER'!$EE483="","",INDEX(inventory[ESISTENZA],MATCH('BHPC MANAGER'!$EE483,inventory[SKU],0))),0)</f>
        <v/>
      </c>
      <c r="EH483" s="331"/>
      <c r="EI483" s="331" t="str">
        <f t="shared" si="23"/>
        <v/>
      </c>
      <c r="EJ483" s="332"/>
      <c r="EK483" s="333" t="str">
        <f t="shared" si="24"/>
        <v/>
      </c>
    </row>
    <row r="484" spans="135:141" x14ac:dyDescent="0.35">
      <c r="EE484" s="334" t="str">
        <f t="array" ref="EE484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494" t="str">
        <f t="array" ref="EF484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35" t="str">
        <f>IFERROR(IF('BHPC MANAGER'!$EE484="","",INDEX(inventory[ESISTENZA],MATCH('BHPC MANAGER'!$EE484,inventory[SKU],0))),0)</f>
        <v/>
      </c>
      <c r="EH484" s="336"/>
      <c r="EI484" s="336" t="str">
        <f t="shared" si="23"/>
        <v/>
      </c>
      <c r="EJ484" s="337"/>
      <c r="EK484" s="338" t="str">
        <f t="shared" si="24"/>
        <v/>
      </c>
    </row>
    <row r="485" spans="135:141" x14ac:dyDescent="0.35">
      <c r="EE485" s="329" t="str">
        <f t="array" ref="EE485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493" t="str">
        <f t="array" ref="EF485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30" t="str">
        <f>IFERROR(IF('BHPC MANAGER'!$EE485="","",INDEX(inventory[ESISTENZA],MATCH('BHPC MANAGER'!$EE485,inventory[SKU],0))),0)</f>
        <v/>
      </c>
      <c r="EH485" s="331"/>
      <c r="EI485" s="331" t="str">
        <f t="shared" si="23"/>
        <v/>
      </c>
      <c r="EJ485" s="332"/>
      <c r="EK485" s="333" t="str">
        <f t="shared" si="24"/>
        <v/>
      </c>
    </row>
    <row r="486" spans="135:141" x14ac:dyDescent="0.35">
      <c r="EE486" s="334" t="str">
        <f t="array" ref="EE486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494" t="str">
        <f t="array" ref="EF486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35" t="str">
        <f>IFERROR(IF('BHPC MANAGER'!$EE486="","",INDEX(inventory[ESISTENZA],MATCH('BHPC MANAGER'!$EE486,inventory[SKU],0))),0)</f>
        <v/>
      </c>
      <c r="EH486" s="336"/>
      <c r="EI486" s="336" t="str">
        <f t="shared" si="23"/>
        <v/>
      </c>
      <c r="EJ486" s="337"/>
      <c r="EK486" s="338" t="str">
        <f t="shared" si="24"/>
        <v/>
      </c>
    </row>
    <row r="487" spans="135:141" x14ac:dyDescent="0.35">
      <c r="EE487" s="329" t="str">
        <f t="array" ref="EE487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493" t="str">
        <f t="array" ref="EF487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30" t="str">
        <f>IFERROR(IF('BHPC MANAGER'!$EE487="","",INDEX(inventory[ESISTENZA],MATCH('BHPC MANAGER'!$EE487,inventory[SKU],0))),0)</f>
        <v/>
      </c>
      <c r="EH487" s="331"/>
      <c r="EI487" s="331" t="str">
        <f t="shared" si="23"/>
        <v/>
      </c>
      <c r="EJ487" s="332"/>
      <c r="EK487" s="333" t="str">
        <f t="shared" si="24"/>
        <v/>
      </c>
    </row>
    <row r="488" spans="135:141" x14ac:dyDescent="0.35">
      <c r="EE488" s="334" t="str">
        <f t="array" ref="EE488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494" t="str">
        <f t="array" ref="EF488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35" t="str">
        <f>IFERROR(IF('BHPC MANAGER'!$EE488="","",INDEX(inventory[ESISTENZA],MATCH('BHPC MANAGER'!$EE488,inventory[SKU],0))),0)</f>
        <v/>
      </c>
      <c r="EH488" s="336"/>
      <c r="EI488" s="336" t="str">
        <f t="shared" si="23"/>
        <v/>
      </c>
      <c r="EJ488" s="337"/>
      <c r="EK488" s="338" t="str">
        <f t="shared" si="24"/>
        <v/>
      </c>
    </row>
    <row r="489" spans="135:141" x14ac:dyDescent="0.35">
      <c r="EE489" s="329" t="str">
        <f t="array" ref="EE489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493" t="str">
        <f t="array" ref="EF489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30" t="str">
        <f>IFERROR(IF('BHPC MANAGER'!$EE489="","",INDEX(inventory[ESISTENZA],MATCH('BHPC MANAGER'!$EE489,inventory[SKU],0))),0)</f>
        <v/>
      </c>
      <c r="EH489" s="331"/>
      <c r="EI489" s="331" t="str">
        <f t="shared" si="23"/>
        <v/>
      </c>
      <c r="EJ489" s="332"/>
      <c r="EK489" s="333" t="str">
        <f t="shared" si="24"/>
        <v/>
      </c>
    </row>
    <row r="490" spans="135:141" x14ac:dyDescent="0.35">
      <c r="EE490" s="334" t="str">
        <f t="array" ref="EE490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494" t="str">
        <f t="array" ref="EF490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35" t="str">
        <f>IFERROR(IF('BHPC MANAGER'!$EE490="","",INDEX(inventory[ESISTENZA],MATCH('BHPC MANAGER'!$EE490,inventory[SKU],0))),0)</f>
        <v/>
      </c>
      <c r="EH490" s="336"/>
      <c r="EI490" s="336" t="str">
        <f t="shared" si="23"/>
        <v/>
      </c>
      <c r="EJ490" s="337"/>
      <c r="EK490" s="338" t="str">
        <f t="shared" si="24"/>
        <v/>
      </c>
    </row>
    <row r="491" spans="135:141" x14ac:dyDescent="0.35">
      <c r="EE491" s="329" t="str">
        <f t="array" ref="EE491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493" t="str">
        <f t="array" ref="EF491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30" t="str">
        <f>IFERROR(IF('BHPC MANAGER'!$EE491="","",INDEX(inventory[ESISTENZA],MATCH('BHPC MANAGER'!$EE491,inventory[SKU],0))),0)</f>
        <v/>
      </c>
      <c r="EH491" s="331"/>
      <c r="EI491" s="331" t="str">
        <f t="shared" si="23"/>
        <v/>
      </c>
      <c r="EJ491" s="332"/>
      <c r="EK491" s="333" t="str">
        <f t="shared" si="24"/>
        <v/>
      </c>
    </row>
    <row r="492" spans="135:141" x14ac:dyDescent="0.35">
      <c r="EE492" s="334" t="str">
        <f t="array" ref="EE492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494" t="str">
        <f t="array" ref="EF492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35" t="str">
        <f>IFERROR(IF('BHPC MANAGER'!$EE492="","",INDEX(inventory[ESISTENZA],MATCH('BHPC MANAGER'!$EE492,inventory[SKU],0))),0)</f>
        <v/>
      </c>
      <c r="EH492" s="336"/>
      <c r="EI492" s="336" t="str">
        <f t="shared" si="23"/>
        <v/>
      </c>
      <c r="EJ492" s="337"/>
      <c r="EK492" s="338" t="str">
        <f t="shared" si="24"/>
        <v/>
      </c>
    </row>
    <row r="493" spans="135:141" x14ac:dyDescent="0.35">
      <c r="EE493" s="329" t="str">
        <f t="array" ref="EE493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493" t="str">
        <f t="array" ref="EF493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30" t="str">
        <f>IFERROR(IF('BHPC MANAGER'!$EE493="","",INDEX(inventory[ESISTENZA],MATCH('BHPC MANAGER'!$EE493,inventory[SKU],0))),0)</f>
        <v/>
      </c>
      <c r="EH493" s="331"/>
      <c r="EI493" s="331" t="str">
        <f t="shared" si="23"/>
        <v/>
      </c>
      <c r="EJ493" s="332"/>
      <c r="EK493" s="333" t="str">
        <f t="shared" si="24"/>
        <v/>
      </c>
    </row>
    <row r="494" spans="135:141" x14ac:dyDescent="0.35">
      <c r="EE494" s="334" t="str">
        <f t="array" ref="EE494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494" t="str">
        <f t="array" ref="EF494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35" t="str">
        <f>IFERROR(IF('BHPC MANAGER'!$EE494="","",INDEX(inventory[ESISTENZA],MATCH('BHPC MANAGER'!$EE494,inventory[SKU],0))),0)</f>
        <v/>
      </c>
      <c r="EH494" s="336"/>
      <c r="EI494" s="336" t="str">
        <f t="shared" si="23"/>
        <v/>
      </c>
      <c r="EJ494" s="337"/>
      <c r="EK494" s="338" t="str">
        <f t="shared" si="24"/>
        <v/>
      </c>
    </row>
    <row r="495" spans="135:141" x14ac:dyDescent="0.35">
      <c r="EE495" s="329" t="str">
        <f t="array" ref="EE495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493" t="str">
        <f t="array" ref="EF495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30" t="str">
        <f>IFERROR(IF('BHPC MANAGER'!$EE495="","",INDEX(inventory[ESISTENZA],MATCH('BHPC MANAGER'!$EE495,inventory[SKU],0))),0)</f>
        <v/>
      </c>
      <c r="EH495" s="331"/>
      <c r="EI495" s="331" t="str">
        <f t="shared" si="23"/>
        <v/>
      </c>
      <c r="EJ495" s="332"/>
      <c r="EK495" s="333" t="str">
        <f t="shared" si="24"/>
        <v/>
      </c>
    </row>
    <row r="496" spans="135:141" x14ac:dyDescent="0.35">
      <c r="EE496" s="334" t="str">
        <f t="array" ref="EE496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494" t="str">
        <f t="array" ref="EF496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35" t="str">
        <f>IFERROR(IF('BHPC MANAGER'!$EE496="","",INDEX(inventory[ESISTENZA],MATCH('BHPC MANAGER'!$EE496,inventory[SKU],0))),0)</f>
        <v/>
      </c>
      <c r="EH496" s="336"/>
      <c r="EI496" s="336" t="str">
        <f t="shared" si="23"/>
        <v/>
      </c>
      <c r="EJ496" s="337"/>
      <c r="EK496" s="338" t="str">
        <f t="shared" si="24"/>
        <v/>
      </c>
    </row>
    <row r="497" spans="135:141" x14ac:dyDescent="0.35">
      <c r="EE497" s="329" t="str">
        <f t="array" ref="EE497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493" t="str">
        <f t="array" ref="EF497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30" t="str">
        <f>IFERROR(IF('BHPC MANAGER'!$EE497="","",INDEX(inventory[ESISTENZA],MATCH('BHPC MANAGER'!$EE497,inventory[SKU],0))),0)</f>
        <v/>
      </c>
      <c r="EH497" s="331"/>
      <c r="EI497" s="331" t="str">
        <f t="shared" si="23"/>
        <v/>
      </c>
      <c r="EJ497" s="332"/>
      <c r="EK497" s="333" t="str">
        <f t="shared" si="24"/>
        <v/>
      </c>
    </row>
    <row r="498" spans="135:141" x14ac:dyDescent="0.35">
      <c r="EE498" s="334" t="str">
        <f t="array" ref="EE498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494" t="str">
        <f t="array" ref="EF498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35" t="str">
        <f>IFERROR(IF('BHPC MANAGER'!$EE498="","",INDEX(inventory[ESISTENZA],MATCH('BHPC MANAGER'!$EE498,inventory[SKU],0))),0)</f>
        <v/>
      </c>
      <c r="EH498" s="336"/>
      <c r="EI498" s="336" t="str">
        <f t="shared" si="23"/>
        <v/>
      </c>
      <c r="EJ498" s="337"/>
      <c r="EK498" s="338" t="str">
        <f t="shared" si="24"/>
        <v/>
      </c>
    </row>
    <row r="499" spans="135:141" x14ac:dyDescent="0.35">
      <c r="EE499" s="329" t="str">
        <f t="array" ref="EE499">IFERROR(IF($EC$9="",IF($EC$11="",IF($EC$13="",INDEX(productData[sku],SMALL(MATCH(ROW(productData[sku]),ROW(productData[sku])),ROWS($A$15:A506)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493" t="str">
        <f t="array" ref="EF499">IFERROR(IF($EC$9="",IF($EC$11="",IF($EC$13="",INDEX(productData[description],SMALL(MATCH(ROW(productData[sku]),ROW(productData[sku])),ROWS($A$15:A506)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30" t="str">
        <f>IFERROR(IF('BHPC MANAGER'!$EE499="","",INDEX(inventory[ESISTENZA],MATCH('BHPC MANAGER'!$EE499,inventory[SKU],0))),0)</f>
        <v/>
      </c>
      <c r="EH499" s="331"/>
      <c r="EI499" s="331" t="str">
        <f t="shared" si="23"/>
        <v/>
      </c>
      <c r="EJ499" s="332"/>
      <c r="EK499" s="333" t="str">
        <f t="shared" si="24"/>
        <v/>
      </c>
    </row>
    <row r="500" spans="135:141" ht="15" thickBot="1" x14ac:dyDescent="0.4">
      <c r="EE500" s="339" t="str">
        <f t="array" ref="EE500">IFERROR(IF($EC$9="",IF($EC$11="",IF($EC$13="",INDEX(productData[sku],SMALL(MATCH(ROW(productData[sku]),ROW(productData[sku])),ROWS($A$15:A507)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495" t="str">
        <f t="array" ref="EF500">IFERROR(IF($EC$9="",IF($EC$11="",IF($EC$13="",INDEX(productData[description],SMALL(MATCH(ROW(productData[sku]),ROW(productData[sku])),ROWS($A$15:A507)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40" t="str">
        <f>IFERROR(IF('BHPC MANAGER'!$EE500="","",INDEX(inventory[ESISTENZA],MATCH('BHPC MANAGER'!$EE500,inventory[SKU],0))),0)</f>
        <v/>
      </c>
      <c r="EH500" s="341"/>
      <c r="EI500" s="341" t="str">
        <f t="shared" si="23"/>
        <v/>
      </c>
      <c r="EJ500" s="342"/>
      <c r="EK500" s="343" t="str">
        <f t="shared" si="24"/>
        <v/>
      </c>
    </row>
  </sheetData>
  <sortState xmlns:xlrd2="http://schemas.microsoft.com/office/spreadsheetml/2017/richdata2" ref="BZ8:CT21">
    <sortCondition ref="CM8:CM21" customList="PRESTIGE,MASSTIGE,DEODORANT,GIFTSET,BODYMIST,ROLL-ON,TESTER,PACKING MATERIAL,CLOTHING,SUNGLASSES"/>
    <sortCondition ref="BZ8:BZ21"/>
  </sortState>
  <dataConsolidate/>
  <mergeCells count="23">
    <mergeCell ref="G26:G27"/>
    <mergeCell ref="EJ6:EJ7"/>
    <mergeCell ref="EK6:EK7"/>
    <mergeCell ref="BD22:BH23"/>
    <mergeCell ref="BD19:BH20"/>
    <mergeCell ref="BX18:BX19"/>
    <mergeCell ref="EF6:EF7"/>
    <mergeCell ref="EE6:EE7"/>
    <mergeCell ref="EG6:EG7"/>
    <mergeCell ref="EH6:EH7"/>
    <mergeCell ref="EI6:EI7"/>
    <mergeCell ref="N4:O4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</mergeCells>
  <phoneticPr fontId="55" type="noConversion"/>
  <conditionalFormatting sqref="L8:O110 Q8:W110">
    <cfRule type="expression" dxfId="73" priority="68">
      <formula>$B$2=ROW()</formula>
    </cfRule>
    <cfRule type="expression" dxfId="72" priority="69">
      <formula>$B$2=ROW()</formula>
    </cfRule>
  </conditionalFormatting>
  <conditionalFormatting sqref="N8:N110">
    <cfRule type="expression" dxfId="71" priority="6">
      <formula>AND($B$2=ROW(), $N8=0)</formula>
    </cfRule>
    <cfRule type="expression" dxfId="70" priority="20">
      <formula>N8=0</formula>
    </cfRule>
    <cfRule type="cellIs" dxfId="69" priority="64" operator="equal">
      <formula>"PRODUCTION"</formula>
    </cfRule>
    <cfRule type="cellIs" dxfId="68" priority="74" operator="equal">
      <formula>"SUPPLY"</formula>
    </cfRule>
    <cfRule type="cellIs" dxfId="67" priority="76" operator="equal">
      <formula>"SAMPLING"</formula>
    </cfRule>
    <cfRule type="cellIs" dxfId="66" priority="77" operator="equal">
      <formula>"SALE"</formula>
    </cfRule>
  </conditionalFormatting>
  <conditionalFormatting sqref="EK8:EK500">
    <cfRule type="cellIs" dxfId="65" priority="58" operator="equal">
      <formula>0</formula>
    </cfRule>
    <cfRule type="cellIs" dxfId="64" priority="60" operator="lessThan">
      <formula>0</formula>
    </cfRule>
    <cfRule type="cellIs" dxfId="63" priority="63" operator="notEqual">
      <formula>0</formula>
    </cfRule>
  </conditionalFormatting>
  <conditionalFormatting sqref="CU8:CU110">
    <cfRule type="expression" dxfId="62" priority="61">
      <formula>AND(CU8&gt;=0,CU8&lt;&gt;"")</formula>
    </cfRule>
    <cfRule type="cellIs" dxfId="61" priority="62" operator="lessThan">
      <formula>0</formula>
    </cfRule>
    <cfRule type="cellIs" dxfId="60" priority="117" operator="equal">
      <formula>"NO"</formula>
    </cfRule>
    <cfRule type="cellIs" dxfId="59" priority="118" operator="equal">
      <formula>"OK"</formula>
    </cfRule>
  </conditionalFormatting>
  <conditionalFormatting sqref="S8:T110">
    <cfRule type="cellIs" dxfId="58" priority="34" operator="equal">
      <formula>FALSE</formula>
    </cfRule>
    <cfRule type="cellIs" dxfId="57" priority="35" operator="equal">
      <formula>TRUE</formula>
    </cfRule>
    <cfRule type="cellIs" dxfId="56" priority="78" operator="equal">
      <formula>FALSE</formula>
    </cfRule>
    <cfRule type="cellIs" dxfId="55" priority="89" operator="equal">
      <formula>TRUE</formula>
    </cfRule>
  </conditionalFormatting>
  <conditionalFormatting sqref="S8:S110">
    <cfRule type="expression" dxfId="54" priority="11">
      <formula>AND($B$2=ROW(), $S8=0)</formula>
    </cfRule>
    <cfRule type="cellIs" dxfId="53" priority="54" operator="equal">
      <formula>"GOODS SENT"</formula>
    </cfRule>
    <cfRule type="expression" dxfId="52" priority="65">
      <formula>AND($B$2=ROW(), S8&lt;&gt;0)</formula>
    </cfRule>
  </conditionalFormatting>
  <conditionalFormatting sqref="S8:S110">
    <cfRule type="expression" dxfId="51" priority="25">
      <formula>S8=0</formula>
    </cfRule>
  </conditionalFormatting>
  <conditionalFormatting sqref="U8:U110">
    <cfRule type="expression" dxfId="50" priority="13">
      <formula>AND($B$2=ROW(), $U8=0)</formula>
    </cfRule>
    <cfRule type="expression" dxfId="49" priority="29">
      <formula>U8=0</formula>
    </cfRule>
    <cfRule type="cellIs" dxfId="48" priority="71" operator="equal">
      <formula>"BY ROAD"</formula>
    </cfRule>
    <cfRule type="cellIs" dxfId="47" priority="72" operator="equal">
      <formula>"BY SEA"</formula>
    </cfRule>
    <cfRule type="cellIs" dxfId="46" priority="73" operator="equal">
      <formula>"BY AIR"</formula>
    </cfRule>
  </conditionalFormatting>
  <conditionalFormatting sqref="P8:P110">
    <cfRule type="expression" dxfId="45" priority="8">
      <formula>AND($B$2=ROW(), $P8=0)</formula>
    </cfRule>
    <cfRule type="expression" dxfId="44" priority="22">
      <formula>P8=0</formula>
    </cfRule>
    <cfRule type="expression" dxfId="43" priority="67">
      <formula>AND($B$2=ROW(), $P8&lt;&gt;0)</formula>
    </cfRule>
  </conditionalFormatting>
  <conditionalFormatting sqref="Q8:Q110">
    <cfRule type="expression" dxfId="42" priority="9">
      <formula>AND($B$2=ROW(), $Q8=0)</formula>
    </cfRule>
    <cfRule type="expression" dxfId="41" priority="23">
      <formula>Q8=0</formula>
    </cfRule>
  </conditionalFormatting>
  <conditionalFormatting sqref="W8:W110">
    <cfRule type="expression" dxfId="40" priority="15">
      <formula>AND($B$2=ROW(), $W8=0)</formula>
    </cfRule>
    <cfRule type="expression" dxfId="39" priority="31">
      <formula>W8=0</formula>
    </cfRule>
    <cfRule type="cellIs" dxfId="38" priority="55" operator="equal">
      <formula>"WAITING"</formula>
    </cfRule>
    <cfRule type="cellIs" dxfId="37" priority="57" operator="equal">
      <formula>"OK"</formula>
    </cfRule>
  </conditionalFormatting>
  <conditionalFormatting sqref="EK251:EK500">
    <cfRule type="cellIs" dxfId="36" priority="45" operator="equal">
      <formula>0</formula>
    </cfRule>
    <cfRule type="cellIs" dxfId="35" priority="46" operator="lessThan">
      <formula>0</formula>
    </cfRule>
    <cfRule type="cellIs" dxfId="34" priority="52" operator="notEqual">
      <formula>0</formula>
    </cfRule>
  </conditionalFormatting>
  <conditionalFormatting sqref="G16">
    <cfRule type="cellIs" dxfId="33" priority="44" operator="equal">
      <formula>0</formula>
    </cfRule>
  </conditionalFormatting>
  <conditionalFormatting sqref="BZ8:CT110">
    <cfRule type="expression" dxfId="32" priority="43">
      <formula>$B$10=ROW()</formula>
    </cfRule>
  </conditionalFormatting>
  <conditionalFormatting sqref="V8:W110">
    <cfRule type="cellIs" dxfId="31" priority="32" operator="equal">
      <formula>"DONE"</formula>
    </cfRule>
    <cfRule type="cellIs" dxfId="30" priority="33" operator="equal">
      <formula>"ALL READY"</formula>
    </cfRule>
    <cfRule type="cellIs" dxfId="29" priority="36" operator="equal">
      <formula>"SHIPPED"</formula>
    </cfRule>
    <cfRule type="cellIs" dxfId="28" priority="37" operator="equal">
      <formula>"ON WAITING"</formula>
    </cfRule>
    <cfRule type="cellIs" dxfId="27" priority="38" operator="equal">
      <formula>"PREPARING"</formula>
    </cfRule>
    <cfRule type="cellIs" dxfId="26" priority="39" operator="equal">
      <formula>"TO LOAD"</formula>
    </cfRule>
    <cfRule type="cellIs" dxfId="25" priority="41" operator="equal">
      <formula>"IN TRANSIT"</formula>
    </cfRule>
    <cfRule type="cellIs" dxfId="24" priority="42" operator="equal">
      <formula>"DELIVERED"</formula>
    </cfRule>
    <cfRule type="cellIs" dxfId="23" priority="59" operator="equal">
      <formula>"DONE"</formula>
    </cfRule>
    <cfRule type="cellIs" dxfId="22" priority="70" operator="equal">
      <formula>"ALL READY"</formula>
    </cfRule>
    <cfRule type="cellIs" dxfId="21" priority="93" operator="equal">
      <formula>"SHIPPED"</formula>
    </cfRule>
    <cfRule type="cellIs" dxfId="20" priority="94" operator="equal">
      <formula>"ON WAITING"</formula>
    </cfRule>
    <cfRule type="cellIs" dxfId="19" priority="95" operator="equal">
      <formula>"PREPARING"</formula>
    </cfRule>
    <cfRule type="cellIs" dxfId="18" priority="99" operator="equal">
      <formula>"TO LOAD"</formula>
    </cfRule>
    <cfRule type="cellIs" dxfId="17" priority="107" operator="equal">
      <formula>"IN TRANSIT"</formula>
    </cfRule>
    <cfRule type="cellIs" dxfId="16" priority="112" operator="equal">
      <formula>"DELIVERED"</formula>
    </cfRule>
  </conditionalFormatting>
  <conditionalFormatting sqref="L8:L110">
    <cfRule type="expression" dxfId="15" priority="16">
      <formula>AND($B$2=ROW(), $L8=0)</formula>
    </cfRule>
    <cfRule type="expression" dxfId="14" priority="17">
      <formula>L8=0</formula>
    </cfRule>
  </conditionalFormatting>
  <conditionalFormatting sqref="M8:M110">
    <cfRule type="expression" dxfId="13" priority="5">
      <formula>AND($B$2=ROW(), $M8=0)</formula>
    </cfRule>
    <cfRule type="expression" dxfId="12" priority="18">
      <formula>M8=0</formula>
    </cfRule>
  </conditionalFormatting>
  <conditionalFormatting sqref="O8:O110">
    <cfRule type="expression" dxfId="11" priority="7">
      <formula>AND($B$2=ROW(), $O8=0)</formula>
    </cfRule>
    <cfRule type="expression" dxfId="10" priority="21">
      <formula>O8=0</formula>
    </cfRule>
  </conditionalFormatting>
  <conditionalFormatting sqref="R8:R110">
    <cfRule type="expression" dxfId="9" priority="10">
      <formula>AND($B$2=ROW(), $R8=0)</formula>
    </cfRule>
    <cfRule type="expression" dxfId="8" priority="24">
      <formula>R8=0</formula>
    </cfRule>
  </conditionalFormatting>
  <conditionalFormatting sqref="T8:T110">
    <cfRule type="expression" dxfId="7" priority="12">
      <formula>AND($B$2=ROW(), $T8=0)</formula>
    </cfRule>
    <cfRule type="expression" dxfId="6" priority="26">
      <formula>T8=0</formula>
    </cfRule>
  </conditionalFormatting>
  <conditionalFormatting sqref="V8:V110">
    <cfRule type="expression" dxfId="5" priority="14">
      <formula>AND($B$2=ROW(), $V8=0)</formula>
    </cfRule>
    <cfRule type="expression" dxfId="4" priority="30">
      <formula>V8=0</formula>
    </cfRule>
  </conditionalFormatting>
  <conditionalFormatting sqref="G20">
    <cfRule type="cellIs" dxfId="3" priority="4" operator="equal">
      <formula>0</formula>
    </cfRule>
  </conditionalFormatting>
  <conditionalFormatting sqref="G22">
    <cfRule type="cellIs" dxfId="2" priority="3" operator="equal">
      <formula>0</formula>
    </cfRule>
  </conditionalFormatting>
  <conditionalFormatting sqref="G24">
    <cfRule type="cellIs" dxfId="1" priority="2" operator="equal">
      <formula>0</formula>
    </cfRule>
  </conditionalFormatting>
  <conditionalFormatting sqref="G26">
    <cfRule type="cellIs" dxfId="0" priority="1" operator="equal">
      <formula>0</formula>
    </cfRule>
  </conditionalFormatting>
  <dataValidations count="23">
    <dataValidation type="list" allowBlank="1" showInputMessage="1" showErrorMessage="1" sqref="CX35" xr:uid="{00000000-0002-0000-0C00-000000000000}">
      <formula1>"NO PALLET,CONSOLIDATO,PER CATEGORIA,PER SKU,PER SESSO"</formula1>
    </dataValidation>
    <dataValidation type="list" allowBlank="1" showInputMessage="1" showErrorMessage="1" sqref="CX36" xr:uid="{00000000-0002-0000-0C00-000001000000}">
      <formula1>"80x120,100x120"</formula1>
    </dataValidation>
    <dataValidation type="list" allowBlank="1" showInputMessage="1" showErrorMessage="1" sqref="DL6:DV6" xr:uid="{00000000-0002-0000-0C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C00-000003000000}">
      <formula1>"BY ROAD,BY SEA,BY AIR"</formula1>
    </dataValidation>
    <dataValidation type="list" allowBlank="1" showInputMessage="1" showErrorMessage="1" sqref="AX29:AY29" xr:uid="{00000000-0002-0000-0C00-000004000000}">
      <formula1>$AR$51:$AR$59</formula1>
    </dataValidation>
    <dataValidation type="list" allowBlank="1" showInputMessage="1" showErrorMessage="1" sqref="AR13" xr:uid="{00000000-0002-0000-0C00-000005000000}">
      <formula1>"EUR,USD,GBP"</formula1>
    </dataValidation>
    <dataValidation type="list" allowBlank="1" showInputMessage="1" showErrorMessage="1" sqref="AR28" xr:uid="{00000000-0002-0000-0C00-000006000000}">
      <formula1>"80x120,100x120,NO PALLET"</formula1>
    </dataValidation>
    <dataValidation type="list" allowBlank="1" showInputMessage="1" showErrorMessage="1" sqref="AX32 AT14 AT39" xr:uid="{00000000-0002-0000-0C00-000007000000}">
      <formula1>"VERO,FALSO"</formula1>
    </dataValidation>
    <dataValidation type="list" allowBlank="1" showInputMessage="1" showErrorMessage="1" sqref="AZ7" xr:uid="{00000000-0002-0000-0C00-000008000000}">
      <formula1>$AW$49:$BH$49</formula1>
    </dataValidation>
    <dataValidation type="list" allowBlank="1" showInputMessage="1" showErrorMessage="1" sqref="AT13" xr:uid="{00000000-0002-0000-0C00-000009000000}">
      <formula1>"SALE,SAMPLE,SUPPLY"</formula1>
    </dataValidation>
    <dataValidation type="list" allowBlank="1" showInputMessage="1" showErrorMessage="1" sqref="AT18" xr:uid="{00000000-0002-0000-0C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C00-00000B000000}">
      <formula1>"50,100,150,175,200,300"</formula1>
    </dataValidation>
    <dataValidation type="list" allowBlank="1" showInputMessage="1" showErrorMessage="1" sqref="EC11" xr:uid="{00000000-0002-0000-0C00-00000C000000}">
      <formula1>"MAN,WOMAN"</formula1>
    </dataValidation>
    <dataValidation type="list" allowBlank="1" showInputMessage="1" showErrorMessage="1" sqref="AX27:AY27" xr:uid="{00000000-0002-0000-0C00-00000D000000}">
      <formula1>"ON WAITING, PREPARING,SHIPPED"</formula1>
    </dataValidation>
    <dataValidation type="list" allowBlank="1" showInputMessage="1" showErrorMessage="1" sqref="BH11" xr:uid="{00000000-0002-0000-0C00-00000E000000}">
      <formula1>"20',40',40' HC"</formula1>
    </dataValidation>
    <dataValidation type="list" allowBlank="1" showInputMessage="1" showErrorMessage="1" sqref="EC9" xr:uid="{00000000-0002-0000-0C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C00-000010000000}">
      <formula1>45291</formula1>
      <formula2>73415</formula2>
    </dataValidation>
    <dataValidation type="list" allowBlank="1" showInputMessage="1" showErrorMessage="1" sqref="N5" xr:uid="{00000000-0002-0000-0C00-000012000000}">
      <formula1>"Ascending,Descending"</formula1>
    </dataValidation>
    <dataValidation type="list" allowBlank="1" showInputMessage="1" showErrorMessage="1" sqref="D11" xr:uid="{00000000-0002-0000-0C00-000014000000}">
      <formula1>"ON WAITING,PREPARING,ALL READY,SHIPPED,TO LOAD,IN TRANSIT,DELIVERED"</formula1>
    </dataValidation>
    <dataValidation type="list" allowBlank="1" showInputMessage="1" showErrorMessage="1" sqref="D9" xr:uid="{00000000-0002-0000-0C00-000015000000}">
      <formula1>clientName</formula1>
    </dataValidation>
    <dataValidation type="list" allowBlank="1" showInputMessage="1" showErrorMessage="1" sqref="D13" xr:uid="{00000000-0002-0000-0C00-000016000000}">
      <formula1>"SALE,SUPPLY,SAMPLING,PRODUCTION"</formula1>
    </dataValidation>
    <dataValidation type="list" allowBlank="1" showInputMessage="1" showErrorMessage="1" sqref="D15" xr:uid="{00000000-0002-0000-0C00-000017000000}">
      <formula1>"2023,2024,2025"</formula1>
    </dataValidation>
    <dataValidation type="list" allowBlank="1" showInputMessage="1" showErrorMessage="1" sqref="N4" xr:uid="{00000000-0002-0000-0C00-000013000000}">
      <formula1>$L$7:$V$7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2024-12-28T12:02:50Z</dcterms:modified>
</cp:coreProperties>
</file>